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a36e564dca12ad/Documenten/30_KVS/2026/Zomer/"/>
    </mc:Choice>
  </mc:AlternateContent>
  <xr:revisionPtr revIDLastSave="2033" documentId="13_ncr:1_{711400D5-E565-314E-BD0A-8ACAD40026EB}" xr6:coauthVersionLast="47" xr6:coauthVersionMax="47" xr10:uidLastSave="{00475133-5A53-A94D-82D9-8D2502B1A6F8}"/>
  <workbookProtection workbookAlgorithmName="SHA-512" workbookHashValue="IE6/QATEPOX/8fJyVb25Ifx6r9V9+726L9XDNhMVjfRXhCuxaBfjfo+q7j3yKtbVi12f3pqBxzvzz4uWJburGg==" workbookSaltValue="biXBjeXrgSl4g0T6swRQSw==" workbookSpinCount="100000" lockStructure="1"/>
  <bookViews>
    <workbookView xWindow="3140" yWindow="780" windowWidth="32860" windowHeight="22600" xr2:uid="{9BFE80C2-E4CC-8F4C-9391-0C30A64E1BB7}"/>
  </bookViews>
  <sheets>
    <sheet name="Formulier" sheetId="1" r:id="rId1"/>
    <sheet name="TABEL" sheetId="2" r:id="rId2"/>
    <sheet name="Brondata" sheetId="3" state="hidden" r:id="rId3"/>
  </sheets>
  <definedNames>
    <definedName name="_xlnm.Print_Area" localSheetId="0">Formulier!$B$9:$N$39</definedName>
    <definedName name="_xlnm.Print_Titles" localSheetId="0">Formulier!$1:$1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16" i="1"/>
  <c r="L63" i="3"/>
  <c r="K24" i="1"/>
  <c r="P1" i="1"/>
  <c r="B1" i="1"/>
  <c r="E56" i="3"/>
  <c r="E57" i="3"/>
  <c r="E58" i="3"/>
  <c r="E51" i="3"/>
  <c r="E52" i="3"/>
  <c r="E53" i="3"/>
  <c r="E54" i="3"/>
  <c r="E55" i="3"/>
  <c r="J29" i="3"/>
  <c r="G94" i="3" l="1"/>
  <c r="D94" i="3"/>
  <c r="G93" i="3"/>
  <c r="D93" i="3"/>
  <c r="G92" i="3"/>
  <c r="D92" i="3"/>
  <c r="G91" i="3"/>
  <c r="D91" i="3"/>
  <c r="I90" i="3"/>
  <c r="H90" i="3"/>
  <c r="G90" i="3"/>
  <c r="D89" i="3"/>
  <c r="D88" i="3"/>
  <c r="D87" i="3"/>
  <c r="E86" i="3"/>
  <c r="D86" i="3"/>
  <c r="D85" i="3"/>
  <c r="D82" i="3"/>
  <c r="D81" i="3"/>
  <c r="D80" i="3"/>
  <c r="D79" i="3"/>
  <c r="D78" i="3"/>
  <c r="D77" i="3"/>
  <c r="D76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G48" i="3"/>
  <c r="J31" i="3"/>
  <c r="J28" i="3"/>
  <c r="J30" i="3" s="1"/>
  <c r="A28" i="3"/>
  <c r="I27" i="3"/>
  <c r="A27" i="3"/>
  <c r="I26" i="3"/>
  <c r="A31" i="3" s="1"/>
  <c r="G26" i="3"/>
  <c r="H26" i="3" s="1"/>
  <c r="I52" i="3" s="1"/>
  <c r="A26" i="3"/>
  <c r="G25" i="3"/>
  <c r="H25" i="3" s="1"/>
  <c r="I53" i="3" s="1"/>
  <c r="E24" i="3"/>
  <c r="E23" i="3"/>
  <c r="R2" i="2"/>
  <c r="K25" i="1"/>
  <c r="Q2" i="2"/>
  <c r="P2" i="2"/>
  <c r="O23" i="1"/>
  <c r="AA2" i="2"/>
  <c r="Z2" i="2"/>
  <c r="Y2" i="2"/>
  <c r="H2" i="2"/>
  <c r="W2" i="2"/>
  <c r="V2" i="2"/>
  <c r="U2" i="2"/>
  <c r="T2" i="2"/>
  <c r="S2" i="2"/>
  <c r="G2" i="2"/>
  <c r="E2" i="2"/>
  <c r="D2" i="2"/>
  <c r="C2" i="2"/>
  <c r="F2" i="2"/>
  <c r="AB2" i="2"/>
  <c r="X2" i="2"/>
  <c r="O2" i="2"/>
  <c r="N2" i="2"/>
  <c r="M2" i="2"/>
  <c r="I2" i="2"/>
  <c r="B2" i="2"/>
  <c r="O34" i="1" l="1"/>
  <c r="D33" i="3"/>
  <c r="A46" i="3"/>
  <c r="H95" i="3"/>
  <c r="O35" i="1" s="1"/>
  <c r="H93" i="3"/>
  <c r="O33" i="1"/>
  <c r="I35" i="3"/>
  <c r="A35" i="3"/>
  <c r="B24" i="1"/>
  <c r="A30" i="3"/>
  <c r="B23" i="1" s="1"/>
  <c r="A32" i="3"/>
  <c r="B16" i="1" s="1"/>
  <c r="B19" i="1"/>
  <c r="F27" i="3"/>
  <c r="K23" i="1" s="1"/>
  <c r="L29" i="3"/>
  <c r="L26" i="3"/>
  <c r="L28" i="3"/>
  <c r="L27" i="3"/>
  <c r="L25" i="3"/>
  <c r="J2" i="2"/>
  <c r="O31" i="1"/>
  <c r="K24" i="3"/>
  <c r="K25" i="3" s="1"/>
  <c r="A34" i="3"/>
  <c r="B17" i="1" s="1"/>
  <c r="E67" i="3"/>
  <c r="E90" i="3" s="1"/>
  <c r="N69" i="3" s="1"/>
  <c r="D90" i="3"/>
  <c r="F68" i="3"/>
  <c r="L62" i="3"/>
  <c r="A45" i="3"/>
  <c r="A40" i="3"/>
  <c r="H23" i="3"/>
  <c r="I51" i="3"/>
  <c r="I55" i="3" s="1"/>
  <c r="I56" i="3" s="1"/>
  <c r="A42" i="3" s="1"/>
  <c r="L61" i="3"/>
  <c r="K23" i="3"/>
  <c r="A37" i="3"/>
  <c r="J14" i="1"/>
  <c r="A38" i="3"/>
  <c r="H24" i="3"/>
  <c r="K2" i="2"/>
  <c r="L2" i="2"/>
  <c r="A40" i="1"/>
  <c r="B25" i="1" l="1"/>
  <c r="B26" i="1"/>
  <c r="E34" i="3"/>
  <c r="B21" i="1" s="1"/>
  <c r="F6" i="1"/>
  <c r="B18" i="1"/>
  <c r="B20" i="1"/>
  <c r="A36" i="3"/>
  <c r="B22" i="1" s="1"/>
  <c r="A29" i="3"/>
  <c r="N67" i="3"/>
  <c r="N71" i="3"/>
  <c r="N65" i="3"/>
  <c r="F82" i="3"/>
  <c r="F90" i="3" s="1"/>
  <c r="L64" i="3"/>
  <c r="A39" i="3"/>
  <c r="AC2" i="2"/>
  <c r="B10" i="1" l="1"/>
  <c r="B38" i="1"/>
  <c r="N70" i="3"/>
  <c r="N68" i="3"/>
  <c r="N66" i="3"/>
  <c r="N72" i="3"/>
  <c r="M73" i="3" s="1"/>
  <c r="M74" i="3" s="1"/>
  <c r="J79" i="3" s="1"/>
  <c r="O38" i="1" l="1"/>
</calcChain>
</file>

<file path=xl/sharedStrings.xml><?xml version="1.0" encoding="utf-8"?>
<sst xmlns="http://schemas.openxmlformats.org/spreadsheetml/2006/main" count="306" uniqueCount="232">
  <si>
    <t>Input data voor formulier:</t>
  </si>
  <si>
    <t>Ja</t>
  </si>
  <si>
    <t>Nee</t>
  </si>
  <si>
    <t>Hulp bij invullen:</t>
  </si>
  <si>
    <t>Vul van onderstaande sheet de witte cellen in.</t>
  </si>
  <si>
    <t>*</t>
  </si>
  <si>
    <t>Print voor uzelf ter controle het ingevulde formulier uit.</t>
  </si>
  <si>
    <t>Bij een aantal vakken moet u kiezen mbv een drop down lijst:</t>
  </si>
  <si>
    <t>Overige opmerkingen:</t>
  </si>
  <si>
    <t>Zwemmen "Ja" dan:</t>
  </si>
  <si>
    <t>Klein+Zwemmen</t>
  </si>
  <si>
    <t>Groot+Zwemmen</t>
  </si>
  <si>
    <t>Gegevens ouder/verzorger:</t>
  </si>
  <si>
    <t>Achternaam</t>
  </si>
  <si>
    <t>Vraag Loslopen</t>
  </si>
  <si>
    <t>Formulier is printervriendelijk opgezet en wordt in zwart-wit geprint.</t>
  </si>
  <si>
    <t>Start hier</t>
  </si>
  <si>
    <t>Gebruik per kind 1 formulier.</t>
  </si>
  <si>
    <t>weer te geven tekst op formulier, afhankelijk van datum</t>
  </si>
  <si>
    <t>Tekst bij voorinschrijving</t>
  </si>
  <si>
    <t>weer te geven tekst op "help", afhankelijk van datum</t>
  </si>
  <si>
    <t>De voorinschrijving via E-mail is gesloten!
Breng dit ingevulde formulier mee op je eerste dag van de zomerweek.</t>
  </si>
  <si>
    <t>Categorie</t>
  </si>
  <si>
    <t>Voornaam</t>
  </si>
  <si>
    <t>Adres</t>
  </si>
  <si>
    <t>Woonplaats</t>
  </si>
  <si>
    <t>Naar groep</t>
  </si>
  <si>
    <t>Zwemmen</t>
  </si>
  <si>
    <t>Diploma's</t>
  </si>
  <si>
    <t>Spooktocht</t>
  </si>
  <si>
    <t>Slapen</t>
  </si>
  <si>
    <t>Wel bij</t>
  </si>
  <si>
    <t>Ouder Voornaam</t>
  </si>
  <si>
    <t>Ouder Achternaam</t>
  </si>
  <si>
    <t>Tel.nr 1</t>
  </si>
  <si>
    <t>Tel.nr 2</t>
  </si>
  <si>
    <t>Akkoord alg.Voorw.</t>
  </si>
  <si>
    <t>Opmerkingen</t>
  </si>
  <si>
    <t>Mail</t>
  </si>
  <si>
    <t>Volgnr</t>
  </si>
  <si>
    <t>Te betalen</t>
  </si>
  <si>
    <t>Kinderen vanaf 4 jaar t/m groep 5 (nieuwe schooljaar)</t>
  </si>
  <si>
    <t>Kinderen van groep 6 t/m brugklas (nieuwe schooljaar)</t>
  </si>
  <si>
    <t>Voornaam*:</t>
  </si>
  <si>
    <t>Achternaam*:</t>
  </si>
  <si>
    <t>Adres*:</t>
  </si>
  <si>
    <t>Woonplaats*:</t>
  </si>
  <si>
    <t>Emailadres*:</t>
  </si>
  <si>
    <t>Check op ingevulde velden</t>
  </si>
  <si>
    <t>Naar Goep</t>
  </si>
  <si>
    <t>Diploma</t>
  </si>
  <si>
    <t>Ouder voornaam</t>
  </si>
  <si>
    <t>Ouder achternaam</t>
  </si>
  <si>
    <t>Ouder tel.nummer</t>
  </si>
  <si>
    <t>Ouder mailadres</t>
  </si>
  <si>
    <t>Alg. Voorwaarden</t>
  </si>
  <si>
    <t>altijd</t>
  </si>
  <si>
    <t>zwem</t>
  </si>
  <si>
    <t>Groot</t>
  </si>
  <si>
    <t>Klein</t>
  </si>
  <si>
    <t>Samengevoegd:</t>
  </si>
  <si>
    <t>Min waarde bij</t>
  </si>
  <si>
    <t>JaNeeNee</t>
  </si>
  <si>
    <t>JaJaNee</t>
  </si>
  <si>
    <t>JaNeeJa</t>
  </si>
  <si>
    <t>JaJaJa</t>
  </si>
  <si>
    <t>NeeNeeNee</t>
  </si>
  <si>
    <t>NeeJaNee</t>
  </si>
  <si>
    <t>NeeNeeJa</t>
  </si>
  <si>
    <t>NeeJaJa</t>
  </si>
  <si>
    <t>Waarde gebruiken:</t>
  </si>
  <si>
    <t>Ingevoerd</t>
  </si>
  <si>
    <t>Melding Weergeven:</t>
  </si>
  <si>
    <t>Berekening Minimale input:</t>
  </si>
  <si>
    <t>U heeft nog niet alle verplichte velden (*) ingevuld</t>
  </si>
  <si>
    <t>U heeft alle verplichte velden ingevuld, u kunt het formulier nu opsturen!</t>
  </si>
  <si>
    <t>Mijn kind is WA verzekerd (dit is verplicht bij KVS)*</t>
  </si>
  <si>
    <t>Wa verzekerd</t>
  </si>
  <si>
    <t>Al uw gegevens worden vertrouwelijk behandeld.
Vul minimaal de velden
met een * in.</t>
  </si>
  <si>
    <t>WA Verzekerd</t>
  </si>
  <si>
    <t>Het ingevulde formulier opslaan en het EXCEL bestand versturen aan:
ZOMER@KVS-OSSENDRECHT.NL</t>
  </si>
  <si>
    <t>Vult u aub bovenstaand formulier volledig in op uw computer en
print dit dan voor uzelf ter controle uit.
Verstuur het EXCEL bestand naar ons via e-mail.</t>
  </si>
  <si>
    <t>Ik ga akkoord met de algemene voorwaarden*</t>
  </si>
  <si>
    <t>(zie onze website)</t>
  </si>
  <si>
    <t>Leeftijd</t>
  </si>
  <si>
    <t>Pull downs</t>
  </si>
  <si>
    <t>Leeftijd op 1e dag van zomerweek*</t>
  </si>
  <si>
    <t>Telefoonnr (2):</t>
  </si>
  <si>
    <t>Leeftijd 1e dag</t>
  </si>
  <si>
    <t>Mocht uw kind tijdens de zomerweek jarig zijn, dan kunt u evt de dag aangeven:</t>
  </si>
  <si>
    <t>Weekdag:</t>
  </si>
  <si>
    <t>Maandag</t>
  </si>
  <si>
    <t>Dinsdag</t>
  </si>
  <si>
    <t>Woensdag</t>
  </si>
  <si>
    <t>Donderdag</t>
  </si>
  <si>
    <t>Vrijdag</t>
  </si>
  <si>
    <t>Telefoonnr (1)*:</t>
  </si>
  <si>
    <t>Jarig?</t>
  </si>
  <si>
    <r>
      <t>Kies eerst "</t>
    </r>
    <r>
      <rPr>
        <b/>
        <i/>
        <sz val="10"/>
        <color indexed="8"/>
        <rFont val="Calibri"/>
        <family val="2"/>
      </rPr>
      <t>Bewerken inschakelen</t>
    </r>
    <r>
      <rPr>
        <sz val="10"/>
        <color indexed="8"/>
        <rFont val="Calibri"/>
        <family val="2"/>
      </rPr>
      <t>" in de statusblak omdat het formulier na download in de beveiligde weergave wordt geopend.</t>
    </r>
  </si>
  <si>
    <t>Bewerken Inschakelen</t>
  </si>
  <si>
    <t>Leeftijdscategorie*:</t>
  </si>
  <si>
    <t>Betalen voor:</t>
  </si>
  <si>
    <t>Klein+Reis</t>
  </si>
  <si>
    <t>Groot+Reis</t>
  </si>
  <si>
    <t>Reis</t>
  </si>
  <si>
    <t>Accoord AVG</t>
  </si>
  <si>
    <t>Groot/Klein keuze</t>
  </si>
  <si>
    <t>Tijdens de KVS activiteiten worden foto's en filmpjes gemaakt. Dit beeldmateriaal wordt gebruikt in de media voor promotie. Ouders/verzorgers geven toestemming, tenzij er uitdrukkelijk bezwaar bij de inschrijving van het betreffende kind is gemaakt bij de opmerkingen.</t>
  </si>
  <si>
    <t>Niet akkoord</t>
  </si>
  <si>
    <t>Geen WA</t>
  </si>
  <si>
    <t>Deze beide vragen moeten met "JA" beantwoord worden!</t>
  </si>
  <si>
    <t>Accoord Beeldmateriaal</t>
  </si>
  <si>
    <t>Akkoord</t>
  </si>
  <si>
    <t>Hierbij geef ik toestemming voor het gebruiken van de ingevulde gegevens bij de verwerking van de inschrijving, welke na één jaar verwijderd zullen worden (AVG)*</t>
  </si>
  <si>
    <t>Problemen met het invullen?
Mail dan naar:
jac@kvs-ossendrecht.nl</t>
  </si>
  <si>
    <t>Bidon</t>
  </si>
  <si>
    <t>Soort abbonement</t>
  </si>
  <si>
    <t>Kosten</t>
  </si>
  <si>
    <t>K-Nee-Nee</t>
  </si>
  <si>
    <t>K-Nee-Ja</t>
  </si>
  <si>
    <t>K-Ja-Nee</t>
  </si>
  <si>
    <t>K-Ja-Ja</t>
  </si>
  <si>
    <t>G-Nee-Nee</t>
  </si>
  <si>
    <t>G-Nee-Ja</t>
  </si>
  <si>
    <t>G-Ja-Nee</t>
  </si>
  <si>
    <t>G-Ja-Ja</t>
  </si>
  <si>
    <t>Zoek Op</t>
  </si>
  <si>
    <t>Klein / Groot</t>
  </si>
  <si>
    <t>Ingevuld</t>
  </si>
  <si>
    <t>Klein Basis</t>
  </si>
  <si>
    <t>Klein + Bidon</t>
  </si>
  <si>
    <t>Klein + Reis</t>
  </si>
  <si>
    <t>Klein + Reis + Bidon</t>
  </si>
  <si>
    <t>Groot Basis</t>
  </si>
  <si>
    <t>Groot + Bidon</t>
  </si>
  <si>
    <t>Groot + Reis</t>
  </si>
  <si>
    <t>Grtto + Reis + Bidon</t>
  </si>
  <si>
    <t>Zoekwaarde:</t>
  </si>
  <si>
    <t>Te Betalen</t>
  </si>
  <si>
    <t>Kleur</t>
  </si>
  <si>
    <t>Leeftijd op dag 1</t>
  </si>
  <si>
    <t>Aanmelden Spooktocht</t>
  </si>
  <si>
    <t>Graag willen wij aan alle kinderen vragen om een waterflesje mee te nemen tijdens de KVS Activiteiten</t>
  </si>
  <si>
    <t>Leuk dat je voor een gepersonaliseerde KVS fles kiest! De kosten zijn in het totaal bedrag verwerkt.</t>
  </si>
  <si>
    <t>Laco Abonnement</t>
  </si>
  <si>
    <t>Waterfles KVS</t>
  </si>
  <si>
    <t>Abonn.Laco</t>
  </si>
  <si>
    <t>KVS Fles</t>
  </si>
  <si>
    <t>Fles:</t>
  </si>
  <si>
    <t>"Altijd" hier is waarde afhankelijk van eerder ingevulde waarden: Klein "Ja"en Zwemmen "Ja"</t>
  </si>
  <si>
    <t>Geen Foto's</t>
  </si>
  <si>
    <t>Opm.veld wordt verplicht bij geen toestemming</t>
  </si>
  <si>
    <t>Akkoord Foto's</t>
  </si>
  <si>
    <t>Kies ook een kleur!*</t>
  </si>
  <si>
    <t>€ 7,50</t>
  </si>
  <si>
    <t>Jaarlijkse variabelen:</t>
  </si>
  <si>
    <t>Koptekst</t>
  </si>
  <si>
    <t>Thema</t>
  </si>
  <si>
    <t>Groep</t>
  </si>
  <si>
    <t>Ja/Nee</t>
  </si>
  <si>
    <t>1e dag van Zomerweek</t>
  </si>
  <si>
    <t>Periode Zomerweek</t>
  </si>
  <si>
    <t>Kosten:</t>
  </si>
  <si>
    <t>Als Tekst!</t>
  </si>
  <si>
    <t>Waterfles</t>
  </si>
  <si>
    <t>Reisbestemming</t>
  </si>
  <si>
    <t>Default</t>
  </si>
  <si>
    <t>Selectie "gaat naar groep"</t>
  </si>
  <si>
    <t>Zwembad</t>
  </si>
  <si>
    <t>Naam bestemming</t>
  </si>
  <si>
    <t>Roze</t>
  </si>
  <si>
    <t>Als voorinschrijving is gesloten</t>
  </si>
  <si>
    <t>Kleurcodering onder Input deel</t>
  </si>
  <si>
    <t>Waarde gebruikt in Pull down</t>
  </si>
  <si>
    <t>Reis:</t>
  </si>
  <si>
    <t>Berekende waarde gebruikt in Pull down</t>
  </si>
  <si>
    <t>txt</t>
  </si>
  <si>
    <t>Berekende waarde</t>
  </si>
  <si>
    <t>Respons uit formulier</t>
  </si>
  <si>
    <t xml:space="preserve">Tekst, te gebruiken op formulier en in formules </t>
  </si>
  <si>
    <t>Tekst, ter verduidelijking van naast liggende cel.</t>
  </si>
  <si>
    <t xml:space="preserve">Berekende waarde zichtbaar op Formulier </t>
  </si>
  <si>
    <t>Inschrijven via mail mogelijk:</t>
  </si>
  <si>
    <t>Datum van Vandaag:</t>
  </si>
  <si>
    <t>Eind datum inschrijvingen:</t>
  </si>
  <si>
    <t>Reisbestemming te gebruiken:</t>
  </si>
  <si>
    <t>€ 35,-</t>
  </si>
  <si>
    <t>€ 42,50</t>
  </si>
  <si>
    <t>Laco</t>
  </si>
  <si>
    <t xml:space="preserve">Versie: </t>
  </si>
  <si>
    <t>Datum format</t>
  </si>
  <si>
    <t>Tekst (met ')</t>
  </si>
  <si>
    <t>Inschrijven tot</t>
  </si>
  <si>
    <t>Inschrijven tot (voor header)</t>
  </si>
  <si>
    <t>Klein + Reis + Waterfles</t>
  </si>
  <si>
    <t>Groot + Reis + Waterfels</t>
  </si>
  <si>
    <t>Aanmelden om 21:30 uur!</t>
  </si>
  <si>
    <t>Kleur Fles:</t>
  </si>
  <si>
    <t>Blauw</t>
  </si>
  <si>
    <t>Headers voor afzonderlijke lijsten</t>
  </si>
  <si>
    <t>Input check van formulier:</t>
  </si>
  <si>
    <t>Akkoord AVG</t>
  </si>
  <si>
    <t>Akkoord Foto/Film</t>
  </si>
  <si>
    <t>Als u niet akkoord gaat dient u dit bij de opmerkingen nogmaals duidelijk te vermelden</t>
  </si>
  <si>
    <t>Foto/Film</t>
  </si>
  <si>
    <t>Publiceren</t>
  </si>
  <si>
    <t>Verberg werkblad "Brondata"</t>
  </si>
  <si>
    <t>Sla een onbeveiligde versie op en maak een kopie om te publiceren</t>
  </si>
  <si>
    <t>Breng beveliging aan op kopie volgens stap 3 en verder</t>
  </si>
  <si>
    <t>Bevelig werkbladen "Formulier" en " TABEL"</t>
  </si>
  <si>
    <t>Wachtwoord:</t>
  </si>
  <si>
    <t>[1e2 van namen]_(sapID]</t>
  </si>
  <si>
    <t>Beveilig werkmap</t>
  </si>
  <si>
    <t>Cel niet in gebruik</t>
  </si>
  <si>
    <t>Loslopen*</t>
  </si>
  <si>
    <t>Lengte*</t>
  </si>
  <si>
    <t xml:space="preserve">* Loslopen en Lengte zijn niet in gebruik. De rijen op Formulier zijn "verborgen" </t>
  </si>
  <si>
    <t>Toelichting cq Helptekst</t>
  </si>
  <si>
    <t>Voor u verder gaat, kies eerst de leeftijdsgroep hierboven!</t>
  </si>
  <si>
    <t>Versie:</t>
  </si>
  <si>
    <t>Inschrijving Safari Zomerweek 2026</t>
  </si>
  <si>
    <t>Safari</t>
  </si>
  <si>
    <t>17 t/m 21 Augustus 2026</t>
  </si>
  <si>
    <t>Uiterlijke betaaldatum</t>
  </si>
  <si>
    <t>18 juli</t>
  </si>
  <si>
    <t>Bobbejaanland</t>
  </si>
  <si>
    <t>Aanmelden om 20:45 uur!</t>
  </si>
  <si>
    <t>Ophalen om 19:30!</t>
  </si>
  <si>
    <t>Let op! Stuur ook het toestemmingsformulier (zie link) en de bijbehorende kopie ID('s) mee met de inschrijving.</t>
  </si>
  <si>
    <t>€ 89,50</t>
  </si>
  <si>
    <t>€ 97,-</t>
  </si>
  <si>
    <t>Z-2026-4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</si>
</sst>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164" formatCode="[$-413]d\ mmmm\ yyyy;@"/>
    <numFmt numFmtId="165" formatCode="&quot;€&quot;\ #,##0.0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8" tint="0.79998168889431442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8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8" tint="-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b/>
      <i/>
      <sz val="22"/>
      <color rgb="FFFFFF00"/>
      <name val="Calibri"/>
      <family val="2"/>
      <scheme val="minor"/>
    </font>
    <font>
      <b/>
      <i/>
      <sz val="10"/>
      <color theme="8" tint="0.79998168889431442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theme="4" tint="0.7999816888943144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15" applyNumberFormat="0" applyFill="0" applyAlignment="0" applyProtection="0"/>
  </cellStyleXfs>
  <cellXfs count="476">
    <xf numFmtId="0" fontId="0" fillId="0" borderId="0" xfId="0"/>
    <xf numFmtId="0" fontId="6" fillId="0" borderId="0" xfId="0" applyFont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textRotation="90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6" borderId="7" xfId="0" applyFont="1" applyFill="1" applyBorder="1" applyAlignment="1">
      <alignment horizontal="center" textRotation="90" wrapText="1"/>
    </xf>
    <xf numFmtId="0" fontId="8" fillId="6" borderId="7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/>
    </xf>
    <xf numFmtId="49" fontId="7" fillId="0" borderId="7" xfId="0" applyNumberFormat="1" applyFont="1" applyBorder="1" applyAlignment="1">
      <alignment horizontal="left" vertical="top"/>
    </xf>
    <xf numFmtId="0" fontId="6" fillId="2" borderId="11" xfId="0" applyFont="1" applyFill="1" applyBorder="1" applyAlignment="1">
      <alignment vertical="top"/>
    </xf>
    <xf numFmtId="0" fontId="8" fillId="6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horizontal="center" vertical="top"/>
    </xf>
    <xf numFmtId="0" fontId="6" fillId="4" borderId="5" xfId="0" applyFont="1" applyFill="1" applyBorder="1" applyAlignment="1">
      <alignment vertical="top"/>
    </xf>
    <xf numFmtId="0" fontId="6" fillId="0" borderId="0" xfId="0" applyFont="1" applyAlignment="1">
      <alignment vertical="center" textRotation="180"/>
    </xf>
    <xf numFmtId="0" fontId="6" fillId="0" borderId="0" xfId="0" applyFont="1" applyAlignment="1">
      <alignment vertical="center" textRotation="180" wrapText="1"/>
    </xf>
    <xf numFmtId="0" fontId="6" fillId="0" borderId="0" xfId="0" applyFont="1" applyAlignment="1">
      <alignment horizontal="center" vertical="center" textRotation="180"/>
    </xf>
    <xf numFmtId="0" fontId="6" fillId="0" borderId="0" xfId="0" applyFont="1" applyAlignment="1">
      <alignment horizontal="center" vertical="top"/>
    </xf>
    <xf numFmtId="0" fontId="6" fillId="4" borderId="0" xfId="0" applyFont="1" applyFill="1" applyAlignment="1">
      <alignment vertical="top"/>
    </xf>
    <xf numFmtId="0" fontId="6" fillId="4" borderId="0" xfId="0" applyFont="1" applyFill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27" fillId="14" borderId="17" xfId="2" applyFont="1" applyFill="1" applyBorder="1" applyAlignment="1">
      <alignment horizontal="right" vertical="center"/>
    </xf>
    <xf numFmtId="0" fontId="26" fillId="10" borderId="23" xfId="2" applyFont="1" applyFill="1" applyBorder="1" applyAlignment="1">
      <alignment horizontal="center" vertical="center"/>
    </xf>
    <xf numFmtId="1" fontId="6" fillId="3" borderId="7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16" borderId="6" xfId="0" applyFont="1" applyFill="1" applyBorder="1" applyAlignment="1">
      <alignment horizontal="left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left" vertical="center"/>
    </xf>
    <xf numFmtId="0" fontId="6" fillId="19" borderId="12" xfId="0" applyFont="1" applyFill="1" applyBorder="1" applyAlignment="1">
      <alignment horizontal="left" vertical="center"/>
    </xf>
    <xf numFmtId="0" fontId="25" fillId="6" borderId="10" xfId="0" applyFont="1" applyFill="1" applyBorder="1" applyAlignment="1">
      <alignment horizontal="center" vertical="center"/>
    </xf>
    <xf numFmtId="164" fontId="6" fillId="16" borderId="6" xfId="0" applyNumberFormat="1" applyFont="1" applyFill="1" applyBorder="1" applyAlignment="1">
      <alignment horizontal="left" vertical="center"/>
    </xf>
    <xf numFmtId="164" fontId="6" fillId="5" borderId="10" xfId="0" quotePrefix="1" applyNumberFormat="1" applyFont="1" applyFill="1" applyBorder="1" applyAlignment="1">
      <alignment horizontal="center" vertical="center"/>
    </xf>
    <xf numFmtId="164" fontId="6" fillId="13" borderId="10" xfId="0" applyNumberFormat="1" applyFont="1" applyFill="1" applyBorder="1" applyAlignment="1">
      <alignment horizontal="center" vertical="center"/>
    </xf>
    <xf numFmtId="164" fontId="24" fillId="18" borderId="10" xfId="0" quotePrefix="1" applyNumberFormat="1" applyFont="1" applyFill="1" applyBorder="1" applyAlignment="1">
      <alignment horizontal="center" vertical="center"/>
    </xf>
    <xf numFmtId="165" fontId="6" fillId="9" borderId="10" xfId="0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164" fontId="6" fillId="16" borderId="6" xfId="0" quotePrefix="1" applyNumberFormat="1" applyFont="1" applyFill="1" applyBorder="1" applyAlignment="1">
      <alignment horizontal="left" vertical="center"/>
    </xf>
    <xf numFmtId="165" fontId="6" fillId="8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9" borderId="10" xfId="0" applyFont="1" applyFill="1" applyBorder="1" applyAlignment="1">
      <alignment horizontal="left" vertical="center"/>
    </xf>
    <xf numFmtId="0" fontId="6" fillId="9" borderId="12" xfId="0" applyFont="1" applyFill="1" applyBorder="1" applyAlignment="1">
      <alignment horizontal="left" vertical="center"/>
    </xf>
    <xf numFmtId="165" fontId="6" fillId="16" borderId="10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 wrapText="1"/>
    </xf>
    <xf numFmtId="8" fontId="6" fillId="0" borderId="0" xfId="0" quotePrefix="1" applyNumberFormat="1" applyFont="1" applyAlignment="1">
      <alignment horizontal="left" vertical="center" wrapText="1"/>
    </xf>
    <xf numFmtId="164" fontId="6" fillId="16" borderId="5" xfId="0" quotePrefix="1" applyNumberFormat="1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/>
    </xf>
    <xf numFmtId="165" fontId="6" fillId="16" borderId="5" xfId="0" applyNumberFormat="1" applyFont="1" applyFill="1" applyBorder="1" applyAlignment="1">
      <alignment horizontal="left" vertical="center"/>
    </xf>
    <xf numFmtId="165" fontId="6" fillId="16" borderId="5" xfId="0" quotePrefix="1" applyNumberFormat="1" applyFont="1" applyFill="1" applyBorder="1" applyAlignment="1">
      <alignment horizontal="left" vertical="center"/>
    </xf>
    <xf numFmtId="1" fontId="6" fillId="16" borderId="6" xfId="0" quotePrefix="1" applyNumberFormat="1" applyFont="1" applyFill="1" applyBorder="1" applyAlignment="1">
      <alignment horizontal="right" vertical="center"/>
    </xf>
    <xf numFmtId="165" fontId="6" fillId="16" borderId="0" xfId="0" quotePrefix="1" applyNumberFormat="1" applyFont="1" applyFill="1" applyAlignment="1">
      <alignment horizontal="center" vertical="center"/>
    </xf>
    <xf numFmtId="165" fontId="6" fillId="16" borderId="5" xfId="0" quotePrefix="1" applyNumberFormat="1" applyFont="1" applyFill="1" applyBorder="1" applyAlignment="1">
      <alignment horizontal="center" vertical="center"/>
    </xf>
    <xf numFmtId="165" fontId="6" fillId="16" borderId="16" xfId="0" quotePrefix="1" applyNumberFormat="1" applyFont="1" applyFill="1" applyBorder="1" applyAlignment="1">
      <alignment horizontal="center" vertical="center"/>
    </xf>
    <xf numFmtId="165" fontId="6" fillId="16" borderId="0" xfId="0" quotePrefix="1" applyNumberFormat="1" applyFont="1" applyFill="1" applyAlignment="1">
      <alignment horizontal="left" vertical="center"/>
    </xf>
    <xf numFmtId="0" fontId="6" fillId="16" borderId="0" xfId="0" applyFont="1" applyFill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24" fillId="18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6" fillId="9" borderId="14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left" vertical="center"/>
    </xf>
    <xf numFmtId="0" fontId="25" fillId="6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16" borderId="0" xfId="0" applyFont="1" applyFill="1" applyAlignment="1">
      <alignment vertical="center"/>
    </xf>
    <xf numFmtId="0" fontId="24" fillId="18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9" borderId="13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 wrapText="1"/>
    </xf>
    <xf numFmtId="0" fontId="23" fillId="20" borderId="7" xfId="0" quotePrefix="1" applyFont="1" applyFill="1" applyBorder="1" applyAlignment="1">
      <alignment vertical="center" wrapText="1"/>
    </xf>
    <xf numFmtId="0" fontId="23" fillId="20" borderId="11" xfId="0" quotePrefix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 wrapText="1"/>
    </xf>
    <xf numFmtId="164" fontId="6" fillId="7" borderId="11" xfId="0" quotePrefix="1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24" fillId="20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29" fillId="5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16" borderId="0" xfId="0" applyFont="1" applyFill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165" fontId="30" fillId="11" borderId="10" xfId="0" applyNumberFormat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6" fillId="19" borderId="6" xfId="0" applyFont="1" applyFill="1" applyBorder="1" applyAlignment="1">
      <alignment vertical="top"/>
    </xf>
    <xf numFmtId="0" fontId="6" fillId="19" borderId="0" xfId="0" applyFont="1" applyFill="1" applyAlignment="1">
      <alignment vertical="top"/>
    </xf>
    <xf numFmtId="0" fontId="6" fillId="19" borderId="5" xfId="0" applyFont="1" applyFill="1" applyBorder="1" applyAlignment="1">
      <alignment vertical="top"/>
    </xf>
    <xf numFmtId="0" fontId="9" fillId="19" borderId="0" xfId="0" applyFont="1" applyFill="1" applyAlignment="1">
      <alignment horizontal="center" vertical="center" textRotation="90"/>
    </xf>
    <xf numFmtId="0" fontId="6" fillId="19" borderId="0" xfId="0" applyFont="1" applyFill="1" applyAlignment="1">
      <alignment vertical="top" wrapText="1"/>
    </xf>
    <xf numFmtId="0" fontId="31" fillId="22" borderId="8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6" fillId="16" borderId="6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49" fontId="9" fillId="0" borderId="5" xfId="0" applyNumberFormat="1" applyFont="1" applyBorder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0" xfId="0" applyFont="1" applyFill="1" applyAlignment="1">
      <alignment horizontal="right" vertical="top" wrapText="1"/>
    </xf>
    <xf numFmtId="49" fontId="9" fillId="0" borderId="1" xfId="0" applyNumberFormat="1" applyFont="1" applyBorder="1" applyAlignment="1" applyProtection="1">
      <alignment horizontal="left" vertical="top"/>
      <protection locked="0"/>
    </xf>
    <xf numFmtId="49" fontId="9" fillId="0" borderId="2" xfId="0" applyNumberFormat="1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18" fillId="19" borderId="0" xfId="0" applyFont="1" applyFill="1" applyAlignment="1">
      <alignment horizontal="center" vertical="top"/>
    </xf>
    <xf numFmtId="0" fontId="18" fillId="19" borderId="5" xfId="0" applyFont="1" applyFill="1" applyBorder="1" applyAlignment="1">
      <alignment horizontal="center" vertical="top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9" fillId="2" borderId="11" xfId="1" applyFont="1" applyFill="1" applyBorder="1" applyAlignment="1" applyProtection="1">
      <alignment horizontal="center" vertical="top"/>
      <protection locked="0"/>
    </xf>
    <xf numFmtId="0" fontId="17" fillId="19" borderId="7" xfId="0" applyFont="1" applyFill="1" applyBorder="1" applyAlignment="1">
      <alignment horizontal="center" vertical="center" wrapText="1"/>
    </xf>
    <xf numFmtId="0" fontId="10" fillId="19" borderId="8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19" borderId="6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4" xfId="0" applyFont="1" applyFill="1" applyBorder="1" applyAlignment="1">
      <alignment horizontal="center" vertical="center" wrapText="1"/>
    </xf>
    <xf numFmtId="49" fontId="3" fillId="0" borderId="0" xfId="1" applyNumberFormat="1" applyBorder="1" applyAlignment="1" applyProtection="1">
      <alignment horizontal="left" vertical="top"/>
      <protection locked="0"/>
    </xf>
    <xf numFmtId="0" fontId="6" fillId="3" borderId="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10" fillId="19" borderId="8" xfId="0" applyFont="1" applyFill="1" applyBorder="1" applyAlignment="1">
      <alignment horizontal="left" vertical="top" wrapText="1"/>
    </xf>
    <xf numFmtId="0" fontId="10" fillId="19" borderId="1" xfId="0" applyFont="1" applyFill="1" applyBorder="1" applyAlignment="1">
      <alignment horizontal="left" vertical="top" wrapText="1"/>
    </xf>
    <xf numFmtId="0" fontId="10" fillId="19" borderId="2" xfId="0" applyFont="1" applyFill="1" applyBorder="1" applyAlignment="1">
      <alignment horizontal="left" vertical="top" wrapText="1"/>
    </xf>
    <xf numFmtId="0" fontId="10" fillId="19" borderId="6" xfId="0" applyFont="1" applyFill="1" applyBorder="1" applyAlignment="1">
      <alignment horizontal="left" vertical="top" wrapText="1"/>
    </xf>
    <xf numFmtId="0" fontId="10" fillId="19" borderId="0" xfId="0" applyFont="1" applyFill="1" applyAlignment="1">
      <alignment horizontal="left" vertical="top" wrapText="1"/>
    </xf>
    <xf numFmtId="0" fontId="10" fillId="19" borderId="5" xfId="0" applyFont="1" applyFill="1" applyBorder="1" applyAlignment="1">
      <alignment horizontal="left" vertical="top" wrapText="1"/>
    </xf>
    <xf numFmtId="0" fontId="10" fillId="19" borderId="9" xfId="0" applyFont="1" applyFill="1" applyBorder="1" applyAlignment="1">
      <alignment horizontal="left" vertical="top" wrapText="1"/>
    </xf>
    <xf numFmtId="0" fontId="10" fillId="19" borderId="3" xfId="0" applyFont="1" applyFill="1" applyBorder="1" applyAlignment="1">
      <alignment horizontal="left" vertical="top" wrapText="1"/>
    </xf>
    <xf numFmtId="0" fontId="10" fillId="19" borderId="4" xfId="0" applyFont="1" applyFill="1" applyBorder="1" applyAlignment="1">
      <alignment horizontal="left" vertical="top" wrapText="1"/>
    </xf>
    <xf numFmtId="0" fontId="12" fillId="19" borderId="8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 wrapText="1"/>
    </xf>
    <xf numFmtId="0" fontId="12" fillId="19" borderId="2" xfId="0" applyFont="1" applyFill="1" applyBorder="1" applyAlignment="1">
      <alignment horizontal="center" vertical="top" wrapText="1"/>
    </xf>
    <xf numFmtId="0" fontId="12" fillId="19" borderId="6" xfId="0" applyFont="1" applyFill="1" applyBorder="1" applyAlignment="1">
      <alignment horizontal="center" vertical="top" wrapText="1"/>
    </xf>
    <xf numFmtId="0" fontId="12" fillId="19" borderId="0" xfId="0" applyFont="1" applyFill="1" applyAlignment="1">
      <alignment horizontal="center" vertical="top" wrapText="1"/>
    </xf>
    <xf numFmtId="0" fontId="12" fillId="19" borderId="5" xfId="0" applyFont="1" applyFill="1" applyBorder="1" applyAlignment="1">
      <alignment horizontal="center" vertical="top" wrapText="1"/>
    </xf>
    <xf numFmtId="0" fontId="10" fillId="19" borderId="7" xfId="0" applyFont="1" applyFill="1" applyBorder="1" applyAlignment="1">
      <alignment horizontal="left" vertical="center" wrapText="1"/>
    </xf>
    <xf numFmtId="0" fontId="15" fillId="12" borderId="8" xfId="0" applyFont="1" applyFill="1" applyBorder="1" applyAlignment="1">
      <alignment horizontal="left" vertical="top" wrapText="1"/>
    </xf>
    <xf numFmtId="0" fontId="15" fillId="12" borderId="1" xfId="0" applyFont="1" applyFill="1" applyBorder="1" applyAlignment="1">
      <alignment horizontal="left" vertical="top" wrapText="1"/>
    </xf>
    <xf numFmtId="0" fontId="15" fillId="12" borderId="2" xfId="0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/>
    </xf>
    <xf numFmtId="0" fontId="6" fillId="3" borderId="9" xfId="0" applyFont="1" applyFill="1" applyBorder="1" applyAlignment="1">
      <alignment horizontal="left" vertical="top" shrinkToFit="1"/>
    </xf>
    <xf numFmtId="0" fontId="6" fillId="3" borderId="3" xfId="0" applyFont="1" applyFill="1" applyBorder="1" applyAlignment="1">
      <alignment horizontal="left" vertical="top" shrinkToFit="1"/>
    </xf>
    <xf numFmtId="0" fontId="6" fillId="3" borderId="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/>
    </xf>
    <xf numFmtId="0" fontId="9" fillId="19" borderId="0" xfId="0" applyFont="1" applyFill="1" applyAlignment="1">
      <alignment horizontal="center" vertical="center" textRotation="90"/>
    </xf>
    <xf numFmtId="0" fontId="9" fillId="3" borderId="0" xfId="0" applyFont="1" applyFill="1" applyAlignment="1" applyProtection="1">
      <alignment horizontal="center" vertical="top"/>
      <protection locked="0"/>
    </xf>
    <xf numFmtId="0" fontId="9" fillId="3" borderId="5" xfId="0" applyFont="1" applyFill="1" applyBorder="1" applyAlignment="1" applyProtection="1">
      <alignment horizontal="center" vertical="top"/>
      <protection locked="0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9" fillId="3" borderId="2" xfId="0" applyFont="1" applyFill="1" applyBorder="1" applyAlignment="1" applyProtection="1">
      <alignment horizontal="center" vertical="top"/>
      <protection locked="0"/>
    </xf>
    <xf numFmtId="0" fontId="6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6" fillId="3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right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13" fillId="3" borderId="6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13" fillId="3" borderId="5" xfId="0" applyFont="1" applyFill="1" applyBorder="1" applyAlignment="1">
      <alignment horizontal="center" vertical="top"/>
    </xf>
    <xf numFmtId="0" fontId="3" fillId="3" borderId="0" xfId="1" applyFill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4" borderId="6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0" fontId="6" fillId="4" borderId="5" xfId="0" applyFont="1" applyFill="1" applyBorder="1" applyAlignment="1">
      <alignment vertical="top"/>
    </xf>
    <xf numFmtId="0" fontId="6" fillId="4" borderId="0" xfId="0" applyFont="1" applyFill="1" applyAlignment="1">
      <alignment vertical="top" wrapText="1"/>
    </xf>
    <xf numFmtId="0" fontId="0" fillId="3" borderId="8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31" fillId="22" borderId="1" xfId="0" applyFont="1" applyFill="1" applyBorder="1" applyAlignment="1">
      <alignment horizontal="left" vertical="center"/>
    </xf>
    <xf numFmtId="0" fontId="31" fillId="22" borderId="2" xfId="0" applyFont="1" applyFill="1" applyBorder="1" applyAlignment="1">
      <alignment horizontal="left" vertical="center"/>
    </xf>
    <xf numFmtId="0" fontId="12" fillId="19" borderId="6" xfId="0" applyFont="1" applyFill="1" applyBorder="1" applyAlignment="1">
      <alignment horizontal="center" vertical="top"/>
    </xf>
    <xf numFmtId="0" fontId="12" fillId="19" borderId="0" xfId="0" applyFont="1" applyFill="1" applyAlignment="1">
      <alignment horizontal="center" vertical="top"/>
    </xf>
    <xf numFmtId="0" fontId="12" fillId="19" borderId="5" xfId="0" applyFont="1" applyFill="1" applyBorder="1" applyAlignment="1">
      <alignment horizontal="center" vertical="top"/>
    </xf>
    <xf numFmtId="0" fontId="12" fillId="19" borderId="9" xfId="0" applyFont="1" applyFill="1" applyBorder="1" applyAlignment="1">
      <alignment horizontal="center" vertical="top"/>
    </xf>
    <xf numFmtId="0" fontId="12" fillId="19" borderId="3" xfId="0" applyFont="1" applyFill="1" applyBorder="1" applyAlignment="1">
      <alignment horizontal="center" vertical="top"/>
    </xf>
    <xf numFmtId="0" fontId="12" fillId="19" borderId="4" xfId="0" applyFont="1" applyFill="1" applyBorder="1" applyAlignment="1">
      <alignment horizontal="center" vertical="top"/>
    </xf>
    <xf numFmtId="0" fontId="32" fillId="19" borderId="6" xfId="0" applyFont="1" applyFill="1" applyBorder="1" applyAlignment="1">
      <alignment horizontal="center" wrapText="1"/>
    </xf>
    <xf numFmtId="0" fontId="32" fillId="19" borderId="0" xfId="0" applyFont="1" applyFill="1" applyAlignment="1">
      <alignment horizontal="center" wrapText="1"/>
    </xf>
    <xf numFmtId="0" fontId="32" fillId="19" borderId="5" xfId="0" applyFont="1" applyFill="1" applyBorder="1" applyAlignment="1">
      <alignment horizontal="center" wrapText="1"/>
    </xf>
    <xf numFmtId="0" fontId="10" fillId="19" borderId="8" xfId="0" applyFont="1" applyFill="1" applyBorder="1" applyAlignment="1">
      <alignment horizontal="center" vertical="top" wrapText="1"/>
    </xf>
    <xf numFmtId="0" fontId="10" fillId="19" borderId="1" xfId="0" applyFont="1" applyFill="1" applyBorder="1" applyAlignment="1">
      <alignment horizontal="center" vertical="top" wrapText="1"/>
    </xf>
    <xf numFmtId="0" fontId="10" fillId="19" borderId="2" xfId="0" applyFont="1" applyFill="1" applyBorder="1" applyAlignment="1">
      <alignment horizontal="center" vertical="top" wrapText="1"/>
    </xf>
    <xf numFmtId="0" fontId="10" fillId="19" borderId="6" xfId="0" applyFont="1" applyFill="1" applyBorder="1" applyAlignment="1">
      <alignment horizontal="center" vertical="top" wrapText="1"/>
    </xf>
    <xf numFmtId="0" fontId="10" fillId="19" borderId="0" xfId="0" applyFont="1" applyFill="1" applyAlignment="1">
      <alignment horizontal="center" vertical="top" wrapText="1"/>
    </xf>
    <xf numFmtId="0" fontId="10" fillId="19" borderId="5" xfId="0" applyFont="1" applyFill="1" applyBorder="1" applyAlignment="1">
      <alignment horizontal="center" vertical="top" wrapText="1"/>
    </xf>
    <xf numFmtId="0" fontId="10" fillId="19" borderId="9" xfId="0" applyFont="1" applyFill="1" applyBorder="1" applyAlignment="1">
      <alignment horizontal="center" vertical="top" wrapText="1"/>
    </xf>
    <xf numFmtId="0" fontId="10" fillId="19" borderId="3" xfId="0" applyFont="1" applyFill="1" applyBorder="1" applyAlignment="1">
      <alignment horizontal="center" vertical="top" wrapText="1"/>
    </xf>
    <xf numFmtId="0" fontId="10" fillId="19" borderId="4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top" shrinkToFit="1"/>
      <protection locked="0"/>
    </xf>
    <xf numFmtId="0" fontId="9" fillId="0" borderId="4" xfId="0" applyFont="1" applyBorder="1" applyAlignment="1" applyProtection="1">
      <alignment horizontal="center" vertical="top" shrinkToFit="1"/>
      <protection locked="0"/>
    </xf>
    <xf numFmtId="0" fontId="16" fillId="11" borderId="10" xfId="2" applyFont="1" applyFill="1" applyBorder="1" applyAlignment="1" applyProtection="1">
      <alignment horizontal="center" vertical="top" shrinkToFit="1"/>
    </xf>
    <xf numFmtId="0" fontId="16" fillId="11" borderId="11" xfId="2" applyFont="1" applyFill="1" applyBorder="1" applyAlignment="1" applyProtection="1">
      <alignment horizontal="center" vertical="top" shrinkToFit="1"/>
    </xf>
    <xf numFmtId="0" fontId="16" fillId="11" borderId="12" xfId="2" applyFont="1" applyFill="1" applyBorder="1" applyAlignment="1" applyProtection="1">
      <alignment horizontal="center" vertical="top" shrinkToFit="1"/>
    </xf>
    <xf numFmtId="0" fontId="12" fillId="19" borderId="6" xfId="0" applyFont="1" applyFill="1" applyBorder="1" applyAlignment="1">
      <alignment horizontal="left" vertical="top"/>
    </xf>
    <xf numFmtId="0" fontId="12" fillId="19" borderId="0" xfId="0" applyFont="1" applyFill="1" applyAlignment="1">
      <alignment horizontal="left" vertical="top"/>
    </xf>
    <xf numFmtId="0" fontId="12" fillId="19" borderId="5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 wrapText="1"/>
    </xf>
    <xf numFmtId="0" fontId="6" fillId="13" borderId="11" xfId="0" applyFont="1" applyFill="1" applyBorder="1" applyAlignment="1">
      <alignment horizontal="left" vertical="center" wrapText="1"/>
    </xf>
    <xf numFmtId="0" fontId="6" fillId="13" borderId="1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3" fillId="20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4" fillId="20" borderId="10" xfId="0" applyFont="1" applyFill="1" applyBorder="1" applyAlignment="1">
      <alignment horizontal="center" vertical="center"/>
    </xf>
    <xf numFmtId="0" fontId="24" fillId="20" borderId="11" xfId="0" applyFont="1" applyFill="1" applyBorder="1" applyAlignment="1">
      <alignment horizontal="center" vertical="center"/>
    </xf>
    <xf numFmtId="0" fontId="24" fillId="20" borderId="12" xfId="0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30" fillId="11" borderId="2" xfId="0" applyFont="1" applyFill="1" applyBorder="1" applyAlignment="1">
      <alignment horizontal="left" vertical="center" wrapText="1"/>
    </xf>
    <xf numFmtId="0" fontId="30" fillId="11" borderId="9" xfId="0" applyFont="1" applyFill="1" applyBorder="1" applyAlignment="1">
      <alignment horizontal="left" vertical="center" wrapText="1"/>
    </xf>
    <xf numFmtId="0" fontId="30" fillId="11" borderId="3" xfId="0" applyFont="1" applyFill="1" applyBorder="1" applyAlignment="1">
      <alignment horizontal="left" vertical="center" wrapText="1"/>
    </xf>
    <xf numFmtId="0" fontId="30" fillId="11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left" vertical="center"/>
    </xf>
    <xf numFmtId="0" fontId="6" fillId="17" borderId="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13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11" fillId="21" borderId="6" xfId="0" applyFont="1" applyFill="1" applyBorder="1" applyAlignment="1">
      <alignment vertical="center"/>
    </xf>
    <xf numFmtId="0" fontId="11" fillId="21" borderId="0" xfId="0" applyFont="1" applyFill="1" applyAlignment="1">
      <alignment vertical="center"/>
    </xf>
    <xf numFmtId="0" fontId="30" fillId="11" borderId="10" xfId="0" applyFont="1" applyFill="1" applyBorder="1" applyAlignment="1">
      <alignment horizontal="left" vertical="center" wrapText="1"/>
    </xf>
    <xf numFmtId="0" fontId="30" fillId="11" borderId="11" xfId="0" applyFont="1" applyFill="1" applyBorder="1" applyAlignment="1">
      <alignment horizontal="left" vertical="center" wrapText="1"/>
    </xf>
    <xf numFmtId="0" fontId="30" fillId="11" borderId="1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14" fontId="6" fillId="5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4" fontId="6" fillId="5" borderId="12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0" fontId="6" fillId="16" borderId="9" xfId="0" applyFont="1" applyFill="1" applyBorder="1" applyAlignment="1">
      <alignment horizontal="left" vertical="center" wrapText="1"/>
    </xf>
    <xf numFmtId="0" fontId="6" fillId="16" borderId="3" xfId="0" applyFont="1" applyFill="1" applyBorder="1" applyAlignment="1">
      <alignment horizontal="left" vertical="center" wrapText="1"/>
    </xf>
    <xf numFmtId="0" fontId="6" fillId="16" borderId="4" xfId="0" applyFont="1" applyFill="1" applyBorder="1" applyAlignment="1">
      <alignment horizontal="left" vertical="center" wrapText="1"/>
    </xf>
    <xf numFmtId="0" fontId="6" fillId="16" borderId="14" xfId="0" quotePrefix="1" applyFont="1" applyFill="1" applyBorder="1" applyAlignment="1">
      <alignment horizontal="center" vertical="center" wrapText="1"/>
    </xf>
    <xf numFmtId="0" fontId="6" fillId="16" borderId="19" xfId="0" quotePrefix="1" applyFont="1" applyFill="1" applyBorder="1" applyAlignment="1">
      <alignment horizontal="center" vertical="center" wrapText="1"/>
    </xf>
    <xf numFmtId="0" fontId="6" fillId="16" borderId="13" xfId="0" quotePrefix="1" applyFont="1" applyFill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0" fontId="23" fillId="20" borderId="11" xfId="0" applyFont="1" applyFill="1" applyBorder="1" applyAlignment="1">
      <alignment horizontal="center" vertical="center" wrapText="1"/>
    </xf>
    <xf numFmtId="0" fontId="23" fillId="20" borderId="12" xfId="0" applyFont="1" applyFill="1" applyBorder="1" applyAlignment="1">
      <alignment horizontal="center" vertical="center" wrapText="1"/>
    </xf>
    <xf numFmtId="164" fontId="6" fillId="19" borderId="11" xfId="0" quotePrefix="1" applyNumberFormat="1" applyFont="1" applyFill="1" applyBorder="1" applyAlignment="1">
      <alignment horizontal="left" vertical="center"/>
    </xf>
    <xf numFmtId="164" fontId="6" fillId="19" borderId="12" xfId="0" quotePrefix="1" applyNumberFormat="1" applyFont="1" applyFill="1" applyBorder="1" applyAlignment="1">
      <alignment horizontal="left" vertical="center"/>
    </xf>
    <xf numFmtId="164" fontId="6" fillId="19" borderId="11" xfId="0" applyNumberFormat="1" applyFont="1" applyFill="1" applyBorder="1" applyAlignment="1">
      <alignment horizontal="left" vertical="center"/>
    </xf>
    <xf numFmtId="164" fontId="6" fillId="19" borderId="12" xfId="0" applyNumberFormat="1" applyFont="1" applyFill="1" applyBorder="1" applyAlignment="1">
      <alignment horizontal="left" vertical="center"/>
    </xf>
    <xf numFmtId="0" fontId="30" fillId="11" borderId="25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30" fillId="11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13" borderId="0" xfId="0" applyFont="1" applyFill="1" applyAlignment="1">
      <alignment horizontal="left" vertical="center" wrapText="1"/>
    </xf>
    <xf numFmtId="0" fontId="6" fillId="13" borderId="5" xfId="0" applyFont="1" applyFill="1" applyBorder="1" applyAlignment="1">
      <alignment horizontal="left" vertical="center" wrapText="1"/>
    </xf>
    <xf numFmtId="0" fontId="6" fillId="13" borderId="0" xfId="0" applyFont="1" applyFill="1" applyAlignment="1">
      <alignment horizontal="left" vertical="center"/>
    </xf>
    <xf numFmtId="0" fontId="6" fillId="13" borderId="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30" fillId="11" borderId="26" xfId="0" applyFont="1" applyFill="1" applyBorder="1" applyAlignment="1">
      <alignment horizontal="center" vertical="center" wrapText="1"/>
    </xf>
    <xf numFmtId="0" fontId="30" fillId="11" borderId="27" xfId="0" applyFont="1" applyFill="1" applyBorder="1" applyAlignment="1">
      <alignment horizontal="center" vertical="center" wrapText="1"/>
    </xf>
    <xf numFmtId="0" fontId="30" fillId="11" borderId="28" xfId="0" applyFont="1" applyFill="1" applyBorder="1" applyAlignment="1">
      <alignment horizontal="center" vertical="center" wrapText="1"/>
    </xf>
    <xf numFmtId="0" fontId="30" fillId="11" borderId="29" xfId="0" applyFont="1" applyFill="1" applyBorder="1" applyAlignment="1">
      <alignment horizontal="center" vertical="center" wrapText="1"/>
    </xf>
    <xf numFmtId="0" fontId="30" fillId="11" borderId="30" xfId="0" applyFont="1" applyFill="1" applyBorder="1" applyAlignment="1">
      <alignment horizontal="center" vertical="center" wrapText="1"/>
    </xf>
    <xf numFmtId="0" fontId="30" fillId="11" borderId="31" xfId="0" applyFont="1" applyFill="1" applyBorder="1" applyAlignment="1">
      <alignment horizontal="center" vertical="center" wrapText="1"/>
    </xf>
    <xf numFmtId="0" fontId="30" fillId="11" borderId="3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2" fillId="14" borderId="16" xfId="2" applyFont="1" applyFill="1" applyBorder="1" applyAlignment="1">
      <alignment horizontal="center" vertical="center"/>
    </xf>
    <xf numFmtId="0" fontId="22" fillId="14" borderId="17" xfId="2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0" fontId="6" fillId="9" borderId="11" xfId="0" applyFont="1" applyFill="1" applyBorder="1" applyAlignment="1">
      <alignment vertical="center"/>
    </xf>
    <xf numFmtId="164" fontId="6" fillId="19" borderId="3" xfId="0" applyNumberFormat="1" applyFont="1" applyFill="1" applyBorder="1" applyAlignment="1">
      <alignment horizontal="left" vertical="center"/>
    </xf>
    <xf numFmtId="164" fontId="6" fillId="19" borderId="4" xfId="0" applyNumberFormat="1" applyFont="1" applyFill="1" applyBorder="1" applyAlignment="1">
      <alignment horizontal="left" vertical="center"/>
    </xf>
    <xf numFmtId="0" fontId="6" fillId="13" borderId="10" xfId="0" applyFont="1" applyFill="1" applyBorder="1" applyAlignment="1">
      <alignment horizontal="left" vertical="center"/>
    </xf>
    <xf numFmtId="0" fontId="6" fillId="13" borderId="11" xfId="0" applyFont="1" applyFill="1" applyBorder="1" applyAlignment="1">
      <alignment horizontal="left" vertical="center"/>
    </xf>
    <xf numFmtId="0" fontId="6" fillId="13" borderId="12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0" fontId="6" fillId="16" borderId="2" xfId="0" applyFont="1" applyFill="1" applyBorder="1" applyAlignment="1">
      <alignment horizontal="left" vertical="center"/>
    </xf>
    <xf numFmtId="0" fontId="6" fillId="13" borderId="7" xfId="0" applyFont="1" applyFill="1" applyBorder="1" applyAlignment="1">
      <alignment horizontal="left" vertical="center"/>
    </xf>
    <xf numFmtId="0" fontId="6" fillId="9" borderId="20" xfId="0" applyFont="1" applyFill="1" applyBorder="1" applyAlignment="1">
      <alignment vertical="center"/>
    </xf>
    <xf numFmtId="0" fontId="6" fillId="9" borderId="22" xfId="0" applyFont="1" applyFill="1" applyBorder="1" applyAlignment="1">
      <alignment vertical="center"/>
    </xf>
    <xf numFmtId="0" fontId="6" fillId="9" borderId="12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165" fontId="6" fillId="19" borderId="11" xfId="0" applyNumberFormat="1" applyFont="1" applyFill="1" applyBorder="1" applyAlignment="1">
      <alignment horizontal="left" vertical="center"/>
    </xf>
    <xf numFmtId="165" fontId="6" fillId="19" borderId="12" xfId="0" applyNumberFormat="1" applyFont="1" applyFill="1" applyBorder="1" applyAlignment="1">
      <alignment horizontal="left" vertical="center"/>
    </xf>
    <xf numFmtId="165" fontId="28" fillId="10" borderId="8" xfId="0" quotePrefix="1" applyNumberFormat="1" applyFont="1" applyFill="1" applyBorder="1" applyAlignment="1">
      <alignment horizontal="left" vertical="center"/>
    </xf>
    <xf numFmtId="165" fontId="28" fillId="10" borderId="2" xfId="0" quotePrefix="1" applyNumberFormat="1" applyFont="1" applyFill="1" applyBorder="1" applyAlignment="1">
      <alignment horizontal="left" vertical="center"/>
    </xf>
    <xf numFmtId="0" fontId="22" fillId="14" borderId="24" xfId="2" applyFont="1" applyFill="1" applyBorder="1" applyAlignment="1">
      <alignment horizontal="center" vertical="center"/>
    </xf>
    <xf numFmtId="0" fontId="22" fillId="14" borderId="18" xfId="2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left" vertical="center"/>
    </xf>
    <xf numFmtId="0" fontId="6" fillId="19" borderId="12" xfId="0" applyFont="1" applyFill="1" applyBorder="1" applyAlignment="1">
      <alignment horizontal="left" vertical="center"/>
    </xf>
    <xf numFmtId="164" fontId="28" fillId="10" borderId="10" xfId="0" quotePrefix="1" applyNumberFormat="1" applyFont="1" applyFill="1" applyBorder="1" applyAlignment="1">
      <alignment horizontal="left" vertical="center"/>
    </xf>
    <xf numFmtId="164" fontId="28" fillId="10" borderId="12" xfId="0" quotePrefix="1" applyNumberFormat="1" applyFont="1" applyFill="1" applyBorder="1" applyAlignment="1">
      <alignment horizontal="left" vertical="center"/>
    </xf>
    <xf numFmtId="165" fontId="28" fillId="10" borderId="20" xfId="0" quotePrefix="1" applyNumberFormat="1" applyFont="1" applyFill="1" applyBorder="1" applyAlignment="1">
      <alignment horizontal="left" vertical="center"/>
    </xf>
    <xf numFmtId="165" fontId="28" fillId="10" borderId="21" xfId="0" quotePrefix="1" applyNumberFormat="1" applyFont="1" applyFill="1" applyBorder="1" applyAlignment="1">
      <alignment horizontal="left" vertical="center"/>
    </xf>
    <xf numFmtId="165" fontId="28" fillId="10" borderId="9" xfId="0" quotePrefix="1" applyNumberFormat="1" applyFont="1" applyFill="1" applyBorder="1" applyAlignment="1">
      <alignment horizontal="left" vertical="center"/>
    </xf>
    <xf numFmtId="165" fontId="28" fillId="10" borderId="3" xfId="0" quotePrefix="1" applyNumberFormat="1" applyFont="1" applyFill="1" applyBorder="1" applyAlignment="1">
      <alignment horizontal="left" vertical="center"/>
    </xf>
    <xf numFmtId="165" fontId="28" fillId="10" borderId="10" xfId="0" quotePrefix="1" applyNumberFormat="1" applyFont="1" applyFill="1" applyBorder="1" applyAlignment="1">
      <alignment horizontal="left" vertical="center"/>
    </xf>
    <xf numFmtId="165" fontId="28" fillId="10" borderId="11" xfId="0" quotePrefix="1" applyNumberFormat="1" applyFont="1" applyFill="1" applyBorder="1" applyAlignment="1">
      <alignment horizontal="left" vertical="center"/>
    </xf>
    <xf numFmtId="0" fontId="28" fillId="10" borderId="9" xfId="0" applyFont="1" applyFill="1" applyBorder="1" applyAlignment="1">
      <alignment horizontal="left" vertical="center"/>
    </xf>
    <xf numFmtId="0" fontId="28" fillId="10" borderId="3" xfId="0" applyFont="1" applyFill="1" applyBorder="1" applyAlignment="1">
      <alignment horizontal="left" vertical="center"/>
    </xf>
    <xf numFmtId="0" fontId="28" fillId="10" borderId="4" xfId="0" applyFont="1" applyFill="1" applyBorder="1" applyAlignment="1">
      <alignment horizontal="left" vertical="center"/>
    </xf>
    <xf numFmtId="0" fontId="28" fillId="10" borderId="20" xfId="0" applyFont="1" applyFill="1" applyBorder="1" applyAlignment="1">
      <alignment horizontal="left" vertical="center"/>
    </xf>
    <xf numFmtId="0" fontId="28" fillId="10" borderId="22" xfId="0" applyFont="1" applyFill="1" applyBorder="1" applyAlignment="1">
      <alignment horizontal="left" vertical="center"/>
    </xf>
    <xf numFmtId="0" fontId="28" fillId="10" borderId="2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6" fillId="9" borderId="4" xfId="0" applyFont="1" applyFill="1" applyBorder="1" applyAlignment="1">
      <alignment vertical="center"/>
    </xf>
    <xf numFmtId="0" fontId="6" fillId="16" borderId="11" xfId="0" applyFont="1" applyFill="1" applyBorder="1" applyAlignment="1">
      <alignment horizontal="left" vertical="center"/>
    </xf>
    <xf numFmtId="0" fontId="6" fillId="16" borderId="12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8" fillId="10" borderId="20" xfId="0" quotePrefix="1" applyFont="1" applyFill="1" applyBorder="1" applyAlignment="1">
      <alignment horizontal="left" vertical="center"/>
    </xf>
    <xf numFmtId="0" fontId="28" fillId="10" borderId="21" xfId="0" quotePrefix="1" applyFont="1" applyFill="1" applyBorder="1" applyAlignment="1">
      <alignment horizontal="left" vertical="center"/>
    </xf>
    <xf numFmtId="164" fontId="28" fillId="10" borderId="10" xfId="0" applyNumberFormat="1" applyFont="1" applyFill="1" applyBorder="1" applyAlignment="1">
      <alignment horizontal="left" vertical="center"/>
    </xf>
    <xf numFmtId="164" fontId="28" fillId="10" borderId="11" xfId="0" applyNumberFormat="1" applyFont="1" applyFill="1" applyBorder="1" applyAlignment="1">
      <alignment horizontal="left" vertical="center"/>
    </xf>
    <xf numFmtId="164" fontId="28" fillId="10" borderId="11" xfId="0" quotePrefix="1" applyNumberFormat="1" applyFont="1" applyFill="1" applyBorder="1" applyAlignment="1">
      <alignment horizontal="left" vertical="center"/>
    </xf>
    <xf numFmtId="164" fontId="28" fillId="10" borderId="9" xfId="0" quotePrefix="1" applyNumberFormat="1" applyFont="1" applyFill="1" applyBorder="1" applyAlignment="1">
      <alignment horizontal="left" vertical="center"/>
    </xf>
    <xf numFmtId="164" fontId="28" fillId="10" borderId="3" xfId="0" quotePrefix="1" applyNumberFormat="1" applyFont="1" applyFill="1" applyBorder="1" applyAlignment="1">
      <alignment horizontal="left" vertical="center"/>
    </xf>
    <xf numFmtId="0" fontId="6" fillId="13" borderId="8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6" fillId="13" borderId="9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left" vertical="center" wrapText="1"/>
    </xf>
    <xf numFmtId="0" fontId="6" fillId="9" borderId="9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16" borderId="9" xfId="0" applyFont="1" applyFill="1" applyBorder="1" applyAlignment="1">
      <alignment horizontal="left" vertical="center"/>
    </xf>
    <xf numFmtId="0" fontId="6" fillId="16" borderId="3" xfId="0" applyFont="1" applyFill="1" applyBorder="1" applyAlignment="1">
      <alignment horizontal="left" vertical="center"/>
    </xf>
    <xf numFmtId="0" fontId="6" fillId="13" borderId="7" xfId="0" applyFont="1" applyFill="1" applyBorder="1" applyAlignment="1">
      <alignment vertical="center"/>
    </xf>
    <xf numFmtId="0" fontId="6" fillId="13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16" borderId="14" xfId="0" applyFont="1" applyFill="1" applyBorder="1" applyAlignment="1">
      <alignment horizontal="center" vertical="center"/>
    </xf>
    <xf numFmtId="0" fontId="6" fillId="16" borderId="19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left" vertical="center"/>
    </xf>
    <xf numFmtId="0" fontId="30" fillId="11" borderId="5" xfId="0" applyFont="1" applyFill="1" applyBorder="1" applyAlignment="1">
      <alignment horizontal="left" vertical="center"/>
    </xf>
    <xf numFmtId="0" fontId="22" fillId="14" borderId="10" xfId="2" applyFont="1" applyFill="1" applyBorder="1" applyAlignment="1">
      <alignment horizontal="center" vertical="center"/>
    </xf>
    <xf numFmtId="0" fontId="22" fillId="14" borderId="11" xfId="2" applyFont="1" applyFill="1" applyBorder="1" applyAlignment="1">
      <alignment horizontal="center" vertical="center"/>
    </xf>
    <xf numFmtId="0" fontId="22" fillId="14" borderId="12" xfId="2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6" fillId="16" borderId="10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24" fillId="18" borderId="19" xfId="0" applyFont="1" applyFill="1" applyBorder="1" applyAlignment="1">
      <alignment horizontal="center" vertical="center" wrapText="1"/>
    </xf>
    <xf numFmtId="165" fontId="28" fillId="15" borderId="17" xfId="0" quotePrefix="1" applyNumberFormat="1" applyFont="1" applyFill="1" applyBorder="1" applyAlignment="1">
      <alignment horizontal="center" vertical="center"/>
    </xf>
    <xf numFmtId="165" fontId="28" fillId="15" borderId="18" xfId="0" quotePrefix="1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/>
    </xf>
    <xf numFmtId="0" fontId="6" fillId="9" borderId="22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left" vertical="center"/>
    </xf>
    <xf numFmtId="0" fontId="6" fillId="9" borderId="12" xfId="0" applyFont="1" applyFill="1" applyBorder="1" applyAlignment="1">
      <alignment horizontal="left" vertical="center"/>
    </xf>
    <xf numFmtId="164" fontId="22" fillId="14" borderId="8" xfId="0" quotePrefix="1" applyNumberFormat="1" applyFont="1" applyFill="1" applyBorder="1" applyAlignment="1">
      <alignment horizontal="center" vertical="center"/>
    </xf>
    <xf numFmtId="164" fontId="22" fillId="14" borderId="1" xfId="0" quotePrefix="1" applyNumberFormat="1" applyFont="1" applyFill="1" applyBorder="1" applyAlignment="1">
      <alignment horizontal="center" vertical="center"/>
    </xf>
    <xf numFmtId="164" fontId="22" fillId="14" borderId="2" xfId="0" quotePrefix="1" applyNumberFormat="1" applyFont="1" applyFill="1" applyBorder="1" applyAlignment="1">
      <alignment horizontal="center" vertical="center"/>
    </xf>
    <xf numFmtId="164" fontId="22" fillId="14" borderId="9" xfId="0" quotePrefix="1" applyNumberFormat="1" applyFont="1" applyFill="1" applyBorder="1" applyAlignment="1">
      <alignment horizontal="center" vertical="center"/>
    </xf>
    <xf numFmtId="164" fontId="22" fillId="14" borderId="3" xfId="0" quotePrefix="1" applyNumberFormat="1" applyFont="1" applyFill="1" applyBorder="1" applyAlignment="1">
      <alignment horizontal="center" vertical="center"/>
    </xf>
    <xf numFmtId="164" fontId="22" fillId="14" borderId="4" xfId="0" quotePrefix="1" applyNumberFormat="1" applyFont="1" applyFill="1" applyBorder="1" applyAlignment="1">
      <alignment horizontal="center" vertical="center"/>
    </xf>
    <xf numFmtId="164" fontId="6" fillId="19" borderId="10" xfId="0" quotePrefix="1" applyNumberFormat="1" applyFont="1" applyFill="1" applyBorder="1" applyAlignment="1">
      <alignment horizontal="left" vertical="center"/>
    </xf>
    <xf numFmtId="0" fontId="22" fillId="14" borderId="23" xfId="2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/>
    </xf>
  </cellXfs>
  <cellStyles count="3">
    <cellStyle name="Hyperlink" xfId="1" builtinId="8"/>
    <cellStyle name="Kop 1" xfId="2" builtinId="16"/>
    <cellStyle name="Standa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/>
        <i val="0"/>
        <u val="none"/>
      </font>
      <fill>
        <patternFill>
          <bgColor rgb="FFFFC000"/>
        </patternFill>
      </fill>
    </dxf>
    <dxf>
      <font>
        <color theme="8" tint="-0.499984740745262"/>
      </font>
      <fill>
        <patternFill>
          <bgColor rgb="FFFFC000"/>
        </patternFill>
      </fill>
    </dxf>
    <dxf>
      <font>
        <b/>
        <i/>
        <color theme="8" tint="-0.499984740745262"/>
      </font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/>
        <strike val="0"/>
        <color rgb="FFFF0000"/>
      </font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1F497D"/>
      <color rgb="FFFFFF9A"/>
      <color rgb="FFEBEBEB"/>
      <color rgb="FFD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3</xdr:row>
      <xdr:rowOff>25400</xdr:rowOff>
    </xdr:from>
    <xdr:to>
      <xdr:col>13</xdr:col>
      <xdr:colOff>114300</xdr:colOff>
      <xdr:row>4</xdr:row>
      <xdr:rowOff>25399</xdr:rowOff>
    </xdr:to>
    <xdr:pic>
      <xdr:nvPicPr>
        <xdr:cNvPr id="7399" name="Picture 1">
          <a:extLst>
            <a:ext uri="{FF2B5EF4-FFF2-40B4-BE49-F238E27FC236}">
              <a16:creationId xmlns:a16="http://schemas.microsoft.com/office/drawing/2014/main" id="{710B58C7-0E84-8571-8453-9A6AEE7F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901700"/>
          <a:ext cx="177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12872</xdr:colOff>
      <xdr:row>0</xdr:row>
      <xdr:rowOff>9965</xdr:rowOff>
    </xdr:from>
    <xdr:to>
      <xdr:col>16</xdr:col>
      <xdr:colOff>568462</xdr:colOff>
      <xdr:row>1</xdr:row>
      <xdr:rowOff>301622</xdr:rowOff>
    </xdr:to>
    <xdr:sp macro="" textlink="">
      <xdr:nvSpPr>
        <xdr:cNvPr id="4" name="Gebogen PIJL-OMHOOG 3">
          <a:extLst>
            <a:ext uri="{FF2B5EF4-FFF2-40B4-BE49-F238E27FC236}">
              <a16:creationId xmlns:a16="http://schemas.microsoft.com/office/drawing/2014/main" id="{871B1421-4250-5FC9-255D-F94C586A93E5}"/>
            </a:ext>
          </a:extLst>
        </xdr:cNvPr>
        <xdr:cNvSpPr/>
      </xdr:nvSpPr>
      <xdr:spPr>
        <a:xfrm>
          <a:off x="5586284" y="17585"/>
          <a:ext cx="1526812" cy="644445"/>
        </a:xfrm>
        <a:prstGeom prst="bentUpArrow">
          <a:avLst>
            <a:gd name="adj1" fmla="val 15756"/>
            <a:gd name="adj2" fmla="val 18436"/>
            <a:gd name="adj3" fmla="val 22491"/>
          </a:avLst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14</xdr:col>
      <xdr:colOff>12872</xdr:colOff>
      <xdr:row>7</xdr:row>
      <xdr:rowOff>166691</xdr:rowOff>
    </xdr:from>
    <xdr:to>
      <xdr:col>16</xdr:col>
      <xdr:colOff>558324</xdr:colOff>
      <xdr:row>9</xdr:row>
      <xdr:rowOff>4</xdr:rowOff>
    </xdr:to>
    <xdr:sp macro="" textlink="">
      <xdr:nvSpPr>
        <xdr:cNvPr id="5" name="PIJL-LINKS 4">
          <a:extLst>
            <a:ext uri="{FF2B5EF4-FFF2-40B4-BE49-F238E27FC236}">
              <a16:creationId xmlns:a16="http://schemas.microsoft.com/office/drawing/2014/main" id="{90E1755C-895E-A828-587B-D90BFC14DC8C}"/>
            </a:ext>
          </a:extLst>
        </xdr:cNvPr>
        <xdr:cNvSpPr>
          <a:spLocks noChangeAspect="1"/>
        </xdr:cNvSpPr>
      </xdr:nvSpPr>
      <xdr:spPr>
        <a:xfrm>
          <a:off x="5586284" y="1827130"/>
          <a:ext cx="1516921" cy="238769"/>
        </a:xfrm>
        <a:prstGeom prst="leftArrow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vs-ossendrecht.nl/wp-content/uploads/2026/06/Toestemming-voor-reizen-met-een-minderjarige-naar-het-buitenland-KVS-zomerweek-2026-2.pdf" TargetMode="External"/><Relationship Id="rId1" Type="http://schemas.openxmlformats.org/officeDocument/2006/relationships/hyperlink" Target="http://kvs-ossendrecht.nl/wp-content/uploads/2019/06/Algemene-voorwaarden-KVS-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3F77-91B3-264A-BFC9-BABC38295ED3}">
  <sheetPr codeName="Blad1"/>
  <dimension ref="A1:Q40"/>
  <sheetViews>
    <sheetView showRowColHeaders="0" tabSelected="1" zoomScale="130" zoomScaleNormal="130" zoomScaleSheetLayoutView="80" workbookViewId="0">
      <selection activeCell="F9" sqref="F9:N9"/>
    </sheetView>
  </sheetViews>
  <sheetFormatPr baseColWidth="10" defaultColWidth="0" defaultRowHeight="14" zeroHeight="1" x14ac:dyDescent="0.2"/>
  <cols>
    <col min="1" max="1" width="7.6640625" style="1" customWidth="1"/>
    <col min="2" max="4" width="4.83203125" style="1" customWidth="1"/>
    <col min="5" max="5" width="4.1640625" style="1" customWidth="1"/>
    <col min="6" max="6" width="5.6640625" style="1" customWidth="1"/>
    <col min="7" max="7" width="7.6640625" style="1" customWidth="1"/>
    <col min="8" max="9" width="5.5" style="1" customWidth="1"/>
    <col min="10" max="10" width="8" style="1" customWidth="1"/>
    <col min="11" max="11" width="7.83203125" style="1" customWidth="1"/>
    <col min="12" max="12" width="7.33203125" style="1" customWidth="1"/>
    <col min="13" max="13" width="3.83203125" style="1" customWidth="1"/>
    <col min="14" max="14" width="5.6640625" style="1" customWidth="1"/>
    <col min="15" max="17" width="10.6640625" style="1" customWidth="1"/>
    <col min="18" max="16384" width="5.83203125" style="1" hidden="1"/>
  </cols>
  <sheetData>
    <row r="1" spans="1:17" ht="29" x14ac:dyDescent="0.2">
      <c r="A1" s="109"/>
      <c r="B1" s="251" t="str">
        <f>Brondata!C2</f>
        <v>Inschrijving Safari Zomerweek 2026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  <c r="O1" s="113" t="s">
        <v>219</v>
      </c>
      <c r="P1" s="227" t="str">
        <f>Brondata!F1</f>
        <v>Z-2026-4</v>
      </c>
      <c r="Q1" s="228"/>
    </row>
    <row r="2" spans="1:17" ht="26.25" customHeight="1" x14ac:dyDescent="0.2">
      <c r="A2" s="109"/>
      <c r="B2" s="217" t="s">
        <v>3</v>
      </c>
      <c r="C2" s="218"/>
      <c r="D2" s="218"/>
      <c r="E2" s="2" t="s">
        <v>5</v>
      </c>
      <c r="F2" s="215" t="s">
        <v>98</v>
      </c>
      <c r="G2" s="215"/>
      <c r="H2" s="215"/>
      <c r="I2" s="215"/>
      <c r="J2" s="215"/>
      <c r="K2" s="215"/>
      <c r="L2" s="215"/>
      <c r="M2" s="215"/>
      <c r="N2" s="216"/>
      <c r="O2" s="254" t="s">
        <v>99</v>
      </c>
      <c r="P2" s="255"/>
      <c r="Q2" s="256"/>
    </row>
    <row r="3" spans="1:17" ht="15" customHeight="1" x14ac:dyDescent="0.2">
      <c r="A3" s="109"/>
      <c r="B3" s="219"/>
      <c r="C3" s="220"/>
      <c r="D3" s="220"/>
      <c r="E3" s="22" t="s">
        <v>5</v>
      </c>
      <c r="F3" s="220" t="s">
        <v>4</v>
      </c>
      <c r="G3" s="220"/>
      <c r="H3" s="220"/>
      <c r="I3" s="220"/>
      <c r="J3" s="220"/>
      <c r="K3" s="220"/>
      <c r="L3" s="220"/>
      <c r="M3" s="220"/>
      <c r="N3" s="221"/>
      <c r="O3" s="235" t="s">
        <v>114</v>
      </c>
      <c r="P3" s="236"/>
      <c r="Q3" s="237"/>
    </row>
    <row r="4" spans="1:17" ht="12.75" customHeight="1" x14ac:dyDescent="0.2">
      <c r="A4" s="109"/>
      <c r="B4" s="219"/>
      <c r="C4" s="220"/>
      <c r="D4" s="220"/>
      <c r="E4" s="22" t="s">
        <v>5</v>
      </c>
      <c r="F4" s="220" t="s">
        <v>7</v>
      </c>
      <c r="G4" s="220"/>
      <c r="H4" s="220"/>
      <c r="I4" s="220"/>
      <c r="J4" s="220"/>
      <c r="K4" s="220"/>
      <c r="L4" s="220"/>
      <c r="M4" s="220"/>
      <c r="N4" s="221"/>
      <c r="O4" s="235"/>
      <c r="P4" s="236"/>
      <c r="Q4" s="237"/>
    </row>
    <row r="5" spans="1:17" ht="14" customHeight="1" x14ac:dyDescent="0.2">
      <c r="A5" s="109"/>
      <c r="B5" s="219"/>
      <c r="C5" s="220"/>
      <c r="D5" s="220"/>
      <c r="E5" s="22" t="s">
        <v>5</v>
      </c>
      <c r="F5" s="220" t="s">
        <v>17</v>
      </c>
      <c r="G5" s="220"/>
      <c r="H5" s="220"/>
      <c r="I5" s="220"/>
      <c r="J5" s="220"/>
      <c r="K5" s="220"/>
      <c r="L5" s="220"/>
      <c r="M5" s="220"/>
      <c r="N5" s="220"/>
      <c r="O5" s="235"/>
      <c r="P5" s="236"/>
      <c r="Q5" s="237"/>
    </row>
    <row r="6" spans="1:17" ht="25.5" customHeight="1" x14ac:dyDescent="0.2">
      <c r="A6" s="109"/>
      <c r="B6" s="219"/>
      <c r="C6" s="220"/>
      <c r="D6" s="220"/>
      <c r="E6" s="22" t="s">
        <v>5</v>
      </c>
      <c r="F6" s="222" t="str">
        <f ca="1">Brondata!A45</f>
        <v>Het ingevulde formulier opslaan en het EXCEL bestand versturen aan:
ZOMER@KVS-OSSENDRECHT.NL</v>
      </c>
      <c r="G6" s="220"/>
      <c r="H6" s="220"/>
      <c r="I6" s="220"/>
      <c r="J6" s="220"/>
      <c r="K6" s="220"/>
      <c r="L6" s="220"/>
      <c r="M6" s="220"/>
      <c r="N6" s="221"/>
      <c r="O6" s="235"/>
      <c r="P6" s="236"/>
      <c r="Q6" s="237"/>
    </row>
    <row r="7" spans="1:17" x14ac:dyDescent="0.2">
      <c r="A7" s="109"/>
      <c r="B7" s="219"/>
      <c r="C7" s="220"/>
      <c r="D7" s="220"/>
      <c r="E7" s="22" t="s">
        <v>5</v>
      </c>
      <c r="F7" s="220" t="s">
        <v>15</v>
      </c>
      <c r="G7" s="220"/>
      <c r="H7" s="220"/>
      <c r="I7" s="220"/>
      <c r="J7" s="220"/>
      <c r="K7" s="220"/>
      <c r="L7" s="220"/>
      <c r="M7" s="220"/>
      <c r="N7" s="221"/>
      <c r="O7" s="108"/>
      <c r="P7" s="109"/>
      <c r="Q7" s="110"/>
    </row>
    <row r="8" spans="1:17" x14ac:dyDescent="0.2">
      <c r="A8" s="109"/>
      <c r="B8" s="219"/>
      <c r="C8" s="220"/>
      <c r="D8" s="220"/>
      <c r="E8" s="22" t="s">
        <v>5</v>
      </c>
      <c r="F8" s="21" t="s">
        <v>6</v>
      </c>
      <c r="G8" s="21"/>
      <c r="H8" s="21"/>
      <c r="I8" s="21"/>
      <c r="J8" s="21"/>
      <c r="K8" s="21"/>
      <c r="L8" s="21"/>
      <c r="M8" s="21"/>
      <c r="N8" s="16"/>
      <c r="O8" s="229" t="s">
        <v>16</v>
      </c>
      <c r="P8" s="230"/>
      <c r="Q8" s="231"/>
    </row>
    <row r="9" spans="1:17" s="17" customFormat="1" ht="17" customHeight="1" x14ac:dyDescent="0.2">
      <c r="A9" s="109"/>
      <c r="B9" s="223" t="s">
        <v>100</v>
      </c>
      <c r="C9" s="224"/>
      <c r="D9" s="224"/>
      <c r="E9" s="224"/>
      <c r="F9" s="225"/>
      <c r="G9" s="225"/>
      <c r="H9" s="225"/>
      <c r="I9" s="225"/>
      <c r="J9" s="225"/>
      <c r="K9" s="225"/>
      <c r="L9" s="225"/>
      <c r="M9" s="225"/>
      <c r="N9" s="226"/>
      <c r="O9" s="229"/>
      <c r="P9" s="230"/>
      <c r="Q9" s="231"/>
    </row>
    <row r="10" spans="1:17" s="17" customFormat="1" ht="17" customHeight="1" x14ac:dyDescent="0.2">
      <c r="A10" s="109"/>
      <c r="B10" s="257" t="str">
        <f>IF(F9&gt;0,Brondata!A29,Brondata!A25)</f>
        <v>Voor u verder gaat, kies eerst de leeftijdsgroep hierboven!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O10" s="232"/>
      <c r="P10" s="233"/>
      <c r="Q10" s="234"/>
    </row>
    <row r="11" spans="1:17" s="17" customFormat="1" ht="17" customHeight="1" x14ac:dyDescent="0.2">
      <c r="A11" s="187"/>
      <c r="B11" s="156" t="s">
        <v>43</v>
      </c>
      <c r="C11" s="157"/>
      <c r="D11" s="157"/>
      <c r="E11" s="128"/>
      <c r="F11" s="128"/>
      <c r="G11" s="128"/>
      <c r="H11" s="128"/>
      <c r="I11" s="186" t="s">
        <v>44</v>
      </c>
      <c r="J11" s="186"/>
      <c r="K11" s="128"/>
      <c r="L11" s="128"/>
      <c r="M11" s="128"/>
      <c r="N11" s="129"/>
      <c r="O11" s="238" t="s">
        <v>78</v>
      </c>
      <c r="P11" s="239"/>
      <c r="Q11" s="240"/>
    </row>
    <row r="12" spans="1:17" s="17" customFormat="1" ht="17" customHeight="1" x14ac:dyDescent="0.2">
      <c r="A12" s="187"/>
      <c r="B12" s="196" t="s">
        <v>45</v>
      </c>
      <c r="C12" s="197"/>
      <c r="D12" s="197"/>
      <c r="E12" s="123"/>
      <c r="F12" s="123"/>
      <c r="G12" s="123"/>
      <c r="H12" s="123"/>
      <c r="I12" s="123"/>
      <c r="J12" s="123"/>
      <c r="K12" s="123"/>
      <c r="L12" s="123"/>
      <c r="M12" s="123"/>
      <c r="N12" s="124"/>
      <c r="O12" s="241"/>
      <c r="P12" s="242"/>
      <c r="Q12" s="243"/>
    </row>
    <row r="13" spans="1:17" s="17" customFormat="1" ht="17" customHeight="1" x14ac:dyDescent="0.2">
      <c r="A13" s="187"/>
      <c r="B13" s="196" t="s">
        <v>46</v>
      </c>
      <c r="C13" s="197"/>
      <c r="D13" s="197"/>
      <c r="E13" s="123"/>
      <c r="F13" s="123"/>
      <c r="G13" s="123"/>
      <c r="H13" s="123"/>
      <c r="I13" s="123"/>
      <c r="J13" s="123"/>
      <c r="K13" s="123"/>
      <c r="L13" s="123"/>
      <c r="M13" s="123"/>
      <c r="N13" s="124"/>
      <c r="O13" s="241"/>
      <c r="P13" s="242"/>
      <c r="Q13" s="243"/>
    </row>
    <row r="14" spans="1:17" s="17" customFormat="1" ht="17" customHeight="1" x14ac:dyDescent="0.2">
      <c r="A14" s="187"/>
      <c r="B14" s="196" t="s">
        <v>86</v>
      </c>
      <c r="C14" s="197"/>
      <c r="D14" s="197"/>
      <c r="E14" s="197"/>
      <c r="F14" s="197"/>
      <c r="G14" s="197"/>
      <c r="H14" s="201"/>
      <c r="I14" s="201"/>
      <c r="J14" s="200" t="str">
        <f>Brondata!I26&amp;" gaat naar groep*:"</f>
        <v>Uw kind gaat naar groep*:</v>
      </c>
      <c r="K14" s="200"/>
      <c r="L14" s="200"/>
      <c r="M14" s="194"/>
      <c r="N14" s="195"/>
      <c r="O14" s="241"/>
      <c r="P14" s="242"/>
      <c r="Q14" s="243"/>
    </row>
    <row r="15" spans="1:17" s="17" customFormat="1" ht="17" customHeight="1" x14ac:dyDescent="0.2">
      <c r="A15" s="111"/>
      <c r="B15" s="247" t="s">
        <v>89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9"/>
      <c r="N15" s="250"/>
      <c r="O15" s="244"/>
      <c r="P15" s="245"/>
      <c r="Q15" s="246"/>
    </row>
    <row r="16" spans="1:17" s="17" customFormat="1" ht="17" customHeight="1" x14ac:dyDescent="0.2">
      <c r="A16" s="109"/>
      <c r="B16" s="192" t="str">
        <f>IF(Brondata!E24="Ja",Brondata!A32,"")</f>
        <v/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0"/>
      <c r="N16" s="191"/>
      <c r="O16" s="146" t="str">
        <f>IF(M20="Ja",Brondata!E36,"Afhankelijk van de leeftijd/groep en uw keuze's (Ja/Nee), zullen afhankelijke  invulvelden verschijnen")</f>
        <v>Afhankelijk van de leeftijd/groep en uw keuze's (Ja/Nee), zullen afhankelijke  invulvelden verschijnen</v>
      </c>
      <c r="P16" s="147"/>
      <c r="Q16" s="148"/>
    </row>
    <row r="17" spans="1:17" s="17" customFormat="1" ht="17" customHeight="1" x14ac:dyDescent="0.2">
      <c r="A17" s="109"/>
      <c r="B17" s="198" t="str">
        <f>IF(M16="Ja",Brondata!A34,"")</f>
        <v/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88"/>
      <c r="N17" s="189"/>
      <c r="O17" s="149"/>
      <c r="P17" s="150"/>
      <c r="Q17" s="151"/>
    </row>
    <row r="18" spans="1:17" s="17" customFormat="1" ht="17" customHeight="1" x14ac:dyDescent="0.2">
      <c r="A18" s="109"/>
      <c r="B18" s="198" t="str">
        <f>IF(Brondata!H24="JaJa",Brondata!A35,"")</f>
        <v/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88"/>
      <c r="N18" s="189"/>
      <c r="O18" s="149"/>
      <c r="P18" s="150"/>
      <c r="Q18" s="151"/>
    </row>
    <row r="19" spans="1:17" s="17" customFormat="1" ht="17" customHeight="1" x14ac:dyDescent="0.2">
      <c r="A19" s="109"/>
      <c r="B19" s="202" t="str">
        <f>IF(M16="Ja",Brondata!D33,"")</f>
        <v/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4"/>
      <c r="O19" s="149"/>
      <c r="P19" s="150"/>
      <c r="Q19" s="151"/>
    </row>
    <row r="20" spans="1:17" s="17" customFormat="1" ht="17" customHeight="1" x14ac:dyDescent="0.2">
      <c r="A20" s="109"/>
      <c r="B20" s="182" t="str">
        <f>"Mag "&amp;Brondata!I26&amp;" mee naar "&amp;Brondata!I35&amp;"?*"</f>
        <v>Mag Uw kind mee naar Bobbejaanland?*</v>
      </c>
      <c r="C20" s="183"/>
      <c r="D20" s="183"/>
      <c r="E20" s="183"/>
      <c r="F20" s="183"/>
      <c r="G20" s="183"/>
      <c r="H20" s="183"/>
      <c r="I20" s="183"/>
      <c r="J20" s="205" t="str">
        <f>IF(M20="Ja","Toestemmingsformulier","")</f>
        <v/>
      </c>
      <c r="K20" s="205"/>
      <c r="L20" s="205"/>
      <c r="M20" s="194"/>
      <c r="N20" s="195"/>
      <c r="O20" s="149"/>
      <c r="P20" s="150"/>
      <c r="Q20" s="151"/>
    </row>
    <row r="21" spans="1:17" s="17" customFormat="1" ht="17" customHeight="1" x14ac:dyDescent="0.2">
      <c r="A21" s="109"/>
      <c r="B21" s="182" t="str">
        <f>IF(M20="Ja",(Brondata!E34),"")</f>
        <v/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8"/>
      <c r="N21" s="189"/>
      <c r="O21" s="149"/>
      <c r="P21" s="150"/>
      <c r="Q21" s="151"/>
    </row>
    <row r="22" spans="1:17" s="17" customFormat="1" ht="17" customHeight="1" x14ac:dyDescent="0.2">
      <c r="A22" s="109"/>
      <c r="B22" s="184" t="str">
        <f>IF(Brondata!K25="JaJaJa",Brondata!A36,"")</f>
        <v/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214"/>
      <c r="N22" s="214"/>
      <c r="O22" s="152"/>
      <c r="P22" s="153"/>
      <c r="Q22" s="154"/>
    </row>
    <row r="23" spans="1:17" s="17" customFormat="1" ht="17" customHeight="1" x14ac:dyDescent="0.2">
      <c r="A23" s="109"/>
      <c r="B23" s="206" t="str">
        <f>IF(Brondata!E24="Ja",Brondata!A30,"")</f>
        <v/>
      </c>
      <c r="C23" s="207"/>
      <c r="D23" s="207"/>
      <c r="E23" s="207"/>
      <c r="F23" s="207"/>
      <c r="G23" s="207"/>
      <c r="H23" s="207"/>
      <c r="I23" s="207"/>
      <c r="J23" s="114"/>
      <c r="K23" s="212" t="str">
        <f>IF(J23="Ja",Brondata!F27,"")</f>
        <v/>
      </c>
      <c r="L23" s="212"/>
      <c r="M23" s="212"/>
      <c r="N23" s="213"/>
      <c r="O23" s="146" t="str">
        <f>IF(J25="Ja",Brondata!A49,Brondata!A47)</f>
        <v>Graag willen wij aan alle kinderen vragen om een waterflesje mee te nemen tijdens de KVS Activiteiten</v>
      </c>
      <c r="P23" s="147"/>
      <c r="Q23" s="148"/>
    </row>
    <row r="24" spans="1:17" s="17" customFormat="1" ht="17" customHeight="1" x14ac:dyDescent="0.2">
      <c r="A24" s="109"/>
      <c r="B24" s="182" t="str">
        <f>IF(Brondata!E24="Ja",Brondata!A31,"")</f>
        <v/>
      </c>
      <c r="C24" s="183"/>
      <c r="D24" s="183"/>
      <c r="E24" s="183"/>
      <c r="F24" s="183"/>
      <c r="G24" s="183"/>
      <c r="H24" s="183"/>
      <c r="I24" s="183"/>
      <c r="J24" s="107"/>
      <c r="K24" s="119" t="str">
        <f>IF(J24="Nee",Brondata!E31,"")</f>
        <v/>
      </c>
      <c r="L24" s="119"/>
      <c r="M24" s="119"/>
      <c r="N24" s="120"/>
      <c r="O24" s="149"/>
      <c r="P24" s="150"/>
      <c r="Q24" s="151"/>
    </row>
    <row r="25" spans="1:17" s="17" customFormat="1" ht="17" customHeight="1" x14ac:dyDescent="0.2">
      <c r="A25" s="109"/>
      <c r="B25" s="182" t="str">
        <f>IF(M14&gt;1,Brondata!A46,"")</f>
        <v/>
      </c>
      <c r="C25" s="183"/>
      <c r="D25" s="183"/>
      <c r="E25" s="183"/>
      <c r="F25" s="183"/>
      <c r="G25" s="183"/>
      <c r="H25" s="183"/>
      <c r="I25" s="183"/>
      <c r="J25" s="107"/>
      <c r="K25" s="127" t="str">
        <f>IF(J25="Ja","Kleur:","")</f>
        <v/>
      </c>
      <c r="L25" s="127"/>
      <c r="M25" s="125"/>
      <c r="N25" s="126"/>
      <c r="O25" s="149"/>
      <c r="P25" s="150"/>
      <c r="Q25" s="151"/>
    </row>
    <row r="26" spans="1:17" s="17" customFormat="1" ht="17" customHeight="1" x14ac:dyDescent="0.2">
      <c r="A26" s="109"/>
      <c r="B26" s="180" t="str">
        <f>Brondata!A37</f>
        <v>Uw kind wil graag in het groepje bij (max. 1)</v>
      </c>
      <c r="C26" s="181"/>
      <c r="D26" s="181"/>
      <c r="E26" s="181"/>
      <c r="F26" s="181"/>
      <c r="G26" s="181"/>
      <c r="H26" s="181"/>
      <c r="I26" s="181"/>
      <c r="J26" s="130"/>
      <c r="K26" s="130"/>
      <c r="L26" s="130"/>
      <c r="M26" s="130"/>
      <c r="N26" s="131"/>
      <c r="O26" s="152"/>
      <c r="P26" s="153"/>
      <c r="Q26" s="154"/>
    </row>
    <row r="27" spans="1:17" s="17" customFormat="1" ht="17" customHeight="1" x14ac:dyDescent="0.2">
      <c r="A27" s="109"/>
      <c r="B27" s="176" t="s">
        <v>12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8"/>
      <c r="O27" s="169"/>
      <c r="P27" s="170"/>
      <c r="Q27" s="171"/>
    </row>
    <row r="28" spans="1:17" s="17" customFormat="1" ht="17" customHeight="1" x14ac:dyDescent="0.2">
      <c r="A28" s="109"/>
      <c r="B28" s="156" t="s">
        <v>43</v>
      </c>
      <c r="C28" s="157"/>
      <c r="D28" s="157"/>
      <c r="E28" s="128"/>
      <c r="F28" s="128"/>
      <c r="G28" s="128"/>
      <c r="H28" s="128"/>
      <c r="I28" s="186" t="s">
        <v>44</v>
      </c>
      <c r="J28" s="186"/>
      <c r="K28" s="128"/>
      <c r="L28" s="128"/>
      <c r="M28" s="128"/>
      <c r="N28" s="129"/>
      <c r="O28" s="172"/>
      <c r="P28" s="173"/>
      <c r="Q28" s="174"/>
    </row>
    <row r="29" spans="1:17" s="17" customFormat="1" ht="17" customHeight="1" x14ac:dyDescent="0.2">
      <c r="A29" s="109"/>
      <c r="B29" s="28" t="s">
        <v>96</v>
      </c>
      <c r="C29" s="83"/>
      <c r="D29" s="83"/>
      <c r="E29" s="123"/>
      <c r="F29" s="123"/>
      <c r="G29" s="123"/>
      <c r="H29" s="123"/>
      <c r="I29" s="179" t="s">
        <v>87</v>
      </c>
      <c r="J29" s="179"/>
      <c r="K29" s="123"/>
      <c r="L29" s="123"/>
      <c r="M29" s="123"/>
      <c r="N29" s="124"/>
      <c r="O29" s="172"/>
      <c r="P29" s="173"/>
      <c r="Q29" s="174"/>
    </row>
    <row r="30" spans="1:17" s="17" customFormat="1" ht="17" customHeight="1" x14ac:dyDescent="0.2">
      <c r="A30" s="109"/>
      <c r="B30" s="196" t="s">
        <v>47</v>
      </c>
      <c r="C30" s="197"/>
      <c r="D30" s="197"/>
      <c r="E30" s="155"/>
      <c r="F30" s="123"/>
      <c r="G30" s="123"/>
      <c r="H30" s="123"/>
      <c r="I30" s="123"/>
      <c r="J30" s="123"/>
      <c r="K30" s="123"/>
      <c r="L30" s="123"/>
      <c r="M30" s="123"/>
      <c r="N30" s="124"/>
      <c r="O30" s="172"/>
      <c r="P30" s="173"/>
      <c r="Q30" s="174"/>
    </row>
    <row r="31" spans="1:17" s="17" customFormat="1" ht="17" customHeight="1" x14ac:dyDescent="0.2">
      <c r="A31" s="109"/>
      <c r="B31" s="158" t="s">
        <v>82</v>
      </c>
      <c r="C31" s="159"/>
      <c r="D31" s="159"/>
      <c r="E31" s="159"/>
      <c r="F31" s="159"/>
      <c r="G31" s="159"/>
      <c r="H31" s="159"/>
      <c r="I31" s="159"/>
      <c r="J31" s="144" t="s">
        <v>83</v>
      </c>
      <c r="K31" s="144"/>
      <c r="L31" s="10"/>
      <c r="M31" s="121"/>
      <c r="N31" s="122"/>
      <c r="O31" s="175" t="str">
        <f>IF(SUM(Brondata!G91:G92)&gt;0,Brondata!H91,"")</f>
        <v/>
      </c>
      <c r="P31" s="175"/>
      <c r="Q31" s="175"/>
    </row>
    <row r="32" spans="1:17" s="17" customFormat="1" ht="17" customHeight="1" x14ac:dyDescent="0.2">
      <c r="A32" s="109"/>
      <c r="B32" s="158" t="s">
        <v>76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21"/>
      <c r="N32" s="122"/>
      <c r="O32" s="175"/>
      <c r="P32" s="175"/>
      <c r="Q32" s="175"/>
    </row>
    <row r="33" spans="1:17" s="18" customFormat="1" ht="28" customHeight="1" x14ac:dyDescent="0.2">
      <c r="A33" s="112"/>
      <c r="B33" s="132" t="s">
        <v>113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6"/>
      <c r="N33" s="137"/>
      <c r="O33" s="175" t="str">
        <f>IF(Brondata!G93=1,Brondata!H93,"")</f>
        <v/>
      </c>
      <c r="P33" s="175"/>
      <c r="Q33" s="175"/>
    </row>
    <row r="34" spans="1:17" s="17" customFormat="1" ht="52" customHeight="1" x14ac:dyDescent="0.2">
      <c r="A34" s="109"/>
      <c r="B34" s="132" t="s">
        <v>107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6"/>
      <c r="N34" s="137"/>
      <c r="O34" s="175" t="str">
        <f>IF(Brondata!G94=1,Brondata!H94,"")</f>
        <v/>
      </c>
      <c r="P34" s="175"/>
      <c r="Q34" s="175"/>
    </row>
    <row r="35" spans="1:17" s="17" customFormat="1" ht="17" customHeight="1" x14ac:dyDescent="0.2">
      <c r="A35" s="109"/>
      <c r="B35" s="182" t="s">
        <v>8</v>
      </c>
      <c r="C35" s="183"/>
      <c r="D35" s="183"/>
      <c r="E35" s="183"/>
      <c r="F35" s="208"/>
      <c r="G35" s="208"/>
      <c r="H35" s="208"/>
      <c r="I35" s="208"/>
      <c r="J35" s="208"/>
      <c r="K35" s="208"/>
      <c r="L35" s="208"/>
      <c r="M35" s="208"/>
      <c r="N35" s="209"/>
      <c r="O35" s="160" t="str">
        <f>IF(Brondata!G94=1,Brondata!H95,"")</f>
        <v/>
      </c>
      <c r="P35" s="161"/>
      <c r="Q35" s="162"/>
    </row>
    <row r="36" spans="1:17" s="17" customFormat="1" ht="17" customHeight="1" x14ac:dyDescent="0.2">
      <c r="A36" s="109"/>
      <c r="B36" s="182"/>
      <c r="C36" s="183"/>
      <c r="D36" s="183"/>
      <c r="E36" s="183"/>
      <c r="F36" s="208"/>
      <c r="G36" s="208"/>
      <c r="H36" s="208"/>
      <c r="I36" s="208"/>
      <c r="J36" s="208"/>
      <c r="K36" s="208"/>
      <c r="L36" s="208"/>
      <c r="M36" s="208"/>
      <c r="N36" s="209"/>
      <c r="O36" s="163"/>
      <c r="P36" s="164"/>
      <c r="Q36" s="165"/>
    </row>
    <row r="37" spans="1:17" s="17" customFormat="1" ht="17" customHeight="1" x14ac:dyDescent="0.2">
      <c r="A37" s="109"/>
      <c r="B37" s="184"/>
      <c r="C37" s="185"/>
      <c r="D37" s="185"/>
      <c r="E37" s="185"/>
      <c r="F37" s="210"/>
      <c r="G37" s="210"/>
      <c r="H37" s="210"/>
      <c r="I37" s="210"/>
      <c r="J37" s="210"/>
      <c r="K37" s="210"/>
      <c r="L37" s="210"/>
      <c r="M37" s="210"/>
      <c r="N37" s="211"/>
      <c r="O37" s="166"/>
      <c r="P37" s="167"/>
      <c r="Q37" s="168"/>
    </row>
    <row r="38" spans="1:17" s="19" customFormat="1" ht="17" customHeight="1" x14ac:dyDescent="0.2">
      <c r="A38" s="109"/>
      <c r="B38" s="138" t="str">
        <f ca="1">IF(F9&gt;0,Brondata!A39,Brondata!A40)</f>
        <v>Vult u aub bovenstaand formulier volledig in op uw computer en
print dit dan voor uzelf ter controle uit.
Verstuur het EXCEL bestand naar ons via e-mail.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  <c r="O38" s="145" t="e">
        <f>Brondata!J79</f>
        <v>#N/A</v>
      </c>
      <c r="P38" s="145"/>
      <c r="Q38" s="145"/>
    </row>
    <row r="39" spans="1:17" s="19" customFormat="1" ht="35" customHeight="1" x14ac:dyDescent="0.2">
      <c r="A39" s="109"/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3"/>
      <c r="O39" s="145"/>
      <c r="P39" s="145"/>
      <c r="Q39" s="145"/>
    </row>
    <row r="40" spans="1:17" s="20" customFormat="1" ht="21" x14ac:dyDescent="0.2">
      <c r="A40" s="134" t="str">
        <f ca="1">IF(Brondata!J30="Ja","Ons mail adres voor inschrijvingen is: zomer@kvs-ossendrecht.nl","")</f>
        <v>Ons mail adres voor inschrijvingen is: zomer@kvs-ossendrecht.nl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5"/>
    </row>
  </sheetData>
  <sheetProtection algorithmName="SHA-512" hashValue="pA0x/cIuClE9Yh06HPgmhGi30TQH9e3r9CmNoSgx+OvUc7AWPUNywAJyuJGJ3MdiSBHOGUdfkgj4zIiHR6yjOA==" saltValue="Gc8zlE+lx9IQLpdWce1XZQ==" spinCount="100000" sheet="1" selectLockedCells="1"/>
  <dataConsolidate/>
  <mergeCells count="85">
    <mergeCell ref="B20:I20"/>
    <mergeCell ref="P1:Q1"/>
    <mergeCell ref="O8:Q10"/>
    <mergeCell ref="O3:Q6"/>
    <mergeCell ref="O11:Q15"/>
    <mergeCell ref="B15:L15"/>
    <mergeCell ref="M15:N15"/>
    <mergeCell ref="I11:J11"/>
    <mergeCell ref="K11:N11"/>
    <mergeCell ref="B1:N1"/>
    <mergeCell ref="O2:Q2"/>
    <mergeCell ref="B12:D12"/>
    <mergeCell ref="F4:N4"/>
    <mergeCell ref="F5:N5"/>
    <mergeCell ref="M14:N14"/>
    <mergeCell ref="B10:N10"/>
    <mergeCell ref="F2:N2"/>
    <mergeCell ref="B2:D8"/>
    <mergeCell ref="F3:N3"/>
    <mergeCell ref="F6:N6"/>
    <mergeCell ref="B9:E9"/>
    <mergeCell ref="F9:N9"/>
    <mergeCell ref="F7:N7"/>
    <mergeCell ref="O16:Q22"/>
    <mergeCell ref="B18:L18"/>
    <mergeCell ref="M18:N18"/>
    <mergeCell ref="B23:I23"/>
    <mergeCell ref="F35:N37"/>
    <mergeCell ref="B30:D30"/>
    <mergeCell ref="K23:N23"/>
    <mergeCell ref="B21:L21"/>
    <mergeCell ref="M21:N21"/>
    <mergeCell ref="B33:L33"/>
    <mergeCell ref="M33:N33"/>
    <mergeCell ref="B22:L22"/>
    <mergeCell ref="M22:N22"/>
    <mergeCell ref="B25:I25"/>
    <mergeCell ref="B24:I24"/>
    <mergeCell ref="E29:H29"/>
    <mergeCell ref="A11:A14"/>
    <mergeCell ref="M17:N17"/>
    <mergeCell ref="M16:N16"/>
    <mergeCell ref="B16:L16"/>
    <mergeCell ref="M20:N20"/>
    <mergeCell ref="E12:N12"/>
    <mergeCell ref="B13:D13"/>
    <mergeCell ref="E13:N13"/>
    <mergeCell ref="B17:L17"/>
    <mergeCell ref="B11:D11"/>
    <mergeCell ref="J14:L14"/>
    <mergeCell ref="H14:I14"/>
    <mergeCell ref="B14:G14"/>
    <mergeCell ref="B19:N19"/>
    <mergeCell ref="E11:H11"/>
    <mergeCell ref="J20:L20"/>
    <mergeCell ref="O23:Q26"/>
    <mergeCell ref="E30:N30"/>
    <mergeCell ref="B28:D28"/>
    <mergeCell ref="B32:L32"/>
    <mergeCell ref="O35:Q37"/>
    <mergeCell ref="O27:Q30"/>
    <mergeCell ref="O31:Q32"/>
    <mergeCell ref="O33:Q33"/>
    <mergeCell ref="O34:Q34"/>
    <mergeCell ref="B31:I31"/>
    <mergeCell ref="B27:N27"/>
    <mergeCell ref="I29:J29"/>
    <mergeCell ref="B26:I26"/>
    <mergeCell ref="B35:E37"/>
    <mergeCell ref="E28:H28"/>
    <mergeCell ref="I28:J28"/>
    <mergeCell ref="B34:L34"/>
    <mergeCell ref="A40:Q40"/>
    <mergeCell ref="M34:N34"/>
    <mergeCell ref="M31:N31"/>
    <mergeCell ref="B38:N39"/>
    <mergeCell ref="J31:K31"/>
    <mergeCell ref="O38:Q39"/>
    <mergeCell ref="K24:N24"/>
    <mergeCell ref="M32:N32"/>
    <mergeCell ref="K29:N29"/>
    <mergeCell ref="M25:N25"/>
    <mergeCell ref="K25:L25"/>
    <mergeCell ref="K28:N28"/>
    <mergeCell ref="J26:N26"/>
  </mergeCells>
  <conditionalFormatting sqref="B10:N10">
    <cfRule type="expression" dxfId="19" priority="1">
      <formula>$F$9=""</formula>
    </cfRule>
  </conditionalFormatting>
  <conditionalFormatting sqref="J25">
    <cfRule type="expression" dxfId="17" priority="14" stopIfTrue="1">
      <formula>$M$14&gt;0</formula>
    </cfRule>
  </conditionalFormatting>
  <conditionalFormatting sqref="M17:N17">
    <cfRule type="expression" dxfId="15" priority="7" stopIfTrue="1">
      <formula>$M$16="ja"</formula>
    </cfRule>
  </conditionalFormatting>
  <conditionalFormatting sqref="M21:N21">
    <cfRule type="expression" dxfId="13" priority="4">
      <formula>$M$20="Ja"</formula>
    </cfRule>
  </conditionalFormatting>
  <conditionalFormatting sqref="M25:N25">
    <cfRule type="expression" dxfId="11" priority="15" stopIfTrue="1">
      <formula>$J$25="Ja"</formula>
    </cfRule>
  </conditionalFormatting>
  <conditionalFormatting sqref="M31:N33">
    <cfRule type="cellIs" dxfId="10" priority="22" stopIfTrue="1" operator="equal">
      <formula>"Nee"</formula>
    </cfRule>
  </conditionalFormatting>
  <conditionalFormatting sqref="O16:Q22">
    <cfRule type="expression" dxfId="8" priority="47">
      <formula>$M$20="Ja"</formula>
    </cfRule>
  </conditionalFormatting>
  <conditionalFormatting sqref="O33:Q33">
    <cfRule type="containsText" dxfId="6" priority="20" stopIfTrue="1" operator="containsText" text="Niet akkoord">
      <formula>NOT(ISERROR(SEARCH("Niet akkoord",O33)))</formula>
    </cfRule>
  </conditionalFormatting>
  <conditionalFormatting sqref="O35:Q37">
    <cfRule type="expression" dxfId="4" priority="8" stopIfTrue="1">
      <formula>AND($M$34="niet akkoord",$F$35="")</formula>
    </cfRule>
  </conditionalFormatting>
  <conditionalFormatting sqref="S12">
    <cfRule type="containsText" dxfId="1" priority="6" operator="containsText" text="hierboven">
      <formula>NOT(ISERROR(SEARCH("hierboven",S12)))</formula>
    </cfRule>
  </conditionalFormatting>
  <dataValidations xWindow="686" yWindow="508" count="1">
    <dataValidation type="whole" allowBlank="1" showErrorMessage="1" errorTitle="Lente in CM's!" promptTitle="Lengte" sqref="M21:N21" xr:uid="{971A4D08-02A2-B84C-B562-54BE514A3B83}">
      <formula1>50</formula1>
      <formula2>200</formula2>
    </dataValidation>
  </dataValidations>
  <hyperlinks>
    <hyperlink ref="J31:K31" r:id="rId1" display="(zie onze website)" xr:uid="{05933AB6-6F14-1A4D-B026-B83C8C97F95D}"/>
    <hyperlink ref="J20:L20" r:id="rId2" display="https://kvs-ossendrecht.nl/wp-content/uploads/2026/06/Toestemming-voor-reizen-met-een-minderjarige-naar-het-buitenland-KVS-zomerweek-2026-2.pdf" xr:uid="{B82BEE38-F23F-B745-9EC8-BE92B6580D34}"/>
  </hyperlinks>
  <printOptions horizontalCentered="1"/>
  <pageMargins left="0.70866141732283505" right="0.70866141732283505" top="0.74803149606299202" bottom="0.74803149606299202" header="0.31496062992126" footer="0.31496062992126"/>
  <pageSetup paperSize="9" fitToHeight="0" orientation="portrait" blackAndWhite="1" horizontalDpi="300" verticalDpi="300" r:id="rId3"/>
  <headerFooter>
    <oddHeader>&amp;C&amp;"Arial,Standaard"&amp;12&amp;K000000www.kvs-ossendrecht.nl</oddHeader>
    <oddFooter>&amp;L&amp;"-,Bold Italic"VERTROUWELIJK&amp;R&amp;"-,Italic"Printdatum: &amp;D</oddFooter>
  </headerFooter>
  <ignoredErrors>
    <ignoredError sqref="O38" evalError="1"/>
    <ignoredError sqref="J20" unlockedFormula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stopIfTrue="1" id="{00000000-000E-0000-0000-000007000000}">
            <xm:f>Brondata!$E$24="Ja"</xm:f>
            <x14:dxf>
              <fill>
                <patternFill patternType="none">
                  <bgColor indexed="65"/>
                </patternFill>
              </fill>
            </x14:dxf>
          </x14:cfRule>
          <xm:sqref>J23:J24</xm:sqref>
        </x14:conditionalFormatting>
        <x14:conditionalFormatting xmlns:xm="http://schemas.microsoft.com/office/excel/2006/main">
          <x14:cfRule type="expression" priority="41" stopIfTrue="1" id="{00000000-000E-0000-0000-000005000000}">
            <xm:f>Brondata!$E$24="ja"</xm:f>
            <x14:dxf>
              <fill>
                <patternFill patternType="none">
                  <bgColor indexed="65"/>
                </patternFill>
              </fill>
            </x14:dxf>
          </x14:cfRule>
          <xm:sqref>M16:N16</xm:sqref>
        </x14:conditionalFormatting>
        <x14:conditionalFormatting xmlns:xm="http://schemas.microsoft.com/office/excel/2006/main">
          <x14:cfRule type="expression" priority="43" stopIfTrue="1" id="{00000000-000E-0000-0000-000003000000}">
            <xm:f>Brondata!$H$24="JaJa"</xm:f>
            <x14:dxf>
              <fill>
                <patternFill patternType="none">
                  <bgColor indexed="65"/>
                </patternFill>
              </fill>
            </x14:dxf>
          </x14:cfRule>
          <xm:sqref>M18:N18</xm:sqref>
        </x14:conditionalFormatting>
        <x14:conditionalFormatting xmlns:xm="http://schemas.microsoft.com/office/excel/2006/main">
          <x14:cfRule type="expression" priority="44" stopIfTrue="1" id="{00000000-000E-0000-0000-00001F000000}">
            <xm:f>Brondata!$K$25="JaJaJa"</xm:f>
            <x14:dxf>
              <fill>
                <patternFill patternType="none">
                  <bgColor indexed="65"/>
                </patternFill>
              </fill>
            </x14:dxf>
          </x14:cfRule>
          <xm:sqref>M22:N22</xm:sqref>
        </x14:conditionalFormatting>
        <x14:conditionalFormatting xmlns:xm="http://schemas.microsoft.com/office/excel/2006/main">
          <x14:cfRule type="expression" priority="2" id="{00000000-000E-0000-0000-000018000000}">
            <xm:f>Brondata!$M$74="Voldoende"</xm:f>
            <x14:dxf>
              <fill>
                <patternFill>
                  <bgColor rgb="FF92D050"/>
                </patternFill>
              </fill>
            </x14:dxf>
          </x14:cfRule>
          <xm:sqref>O2:Q2 O3 O7:Q7 O8 O11 O16 O23 O27 O35</xm:sqref>
        </x14:conditionalFormatting>
        <x14:conditionalFormatting xmlns:xm="http://schemas.microsoft.com/office/excel/2006/main">
          <x14:cfRule type="expression" priority="46" stopIfTrue="1" id="{00000000-000E-0000-0000-000015000000}">
            <xm:f>Brondata!$M$74="Voldoende"</xm:f>
            <x14:dxf>
              <fill>
                <patternFill>
                  <bgColor rgb="FF92D050"/>
                </patternFill>
              </fill>
            </x14:dxf>
          </x14:cfRule>
          <xm:sqref>O31:Q33</xm:sqref>
        </x14:conditionalFormatting>
        <x14:conditionalFormatting xmlns:xm="http://schemas.microsoft.com/office/excel/2006/main">
          <x14:cfRule type="expression" priority="54" stopIfTrue="1" id="{00000000-000E-0000-0000-00000C000000}">
            <xm:f>Brondata!$M$74="voldoende"</xm:f>
            <x14:dxf>
              <fill>
                <patternFill>
                  <bgColor rgb="FF92D050"/>
                </patternFill>
              </fill>
            </x14:dxf>
          </x14:cfRule>
          <xm:sqref>O34:Q34</xm:sqref>
        </x14:conditionalFormatting>
        <x14:conditionalFormatting xmlns:xm="http://schemas.microsoft.com/office/excel/2006/main">
          <x14:cfRule type="expression" priority="56" id="{00000000-000E-0000-0000-000017000000}">
            <xm:f>Brondata!$M$74="Voldoende"</xm:f>
            <x14:dxf>
              <font>
                <b/>
                <i/>
                <color theme="8" tint="-0.499984740745262"/>
              </font>
              <fill>
                <patternFill>
                  <bgColor rgb="FF92D050"/>
                </patternFill>
              </fill>
            </x14:dxf>
          </x14:cfRule>
          <x14:cfRule type="expression" priority="57" stopIfTrue="1" id="{00000000-000E-0000-0000-000019000000}">
            <xm:f>Brondata!D90&gt;11</xm:f>
            <x14:dxf>
              <font>
                <color theme="8" tint="-0.499984740745262"/>
              </font>
              <fill>
                <patternFill>
                  <bgColor rgb="FFFFC000"/>
                </patternFill>
              </fill>
            </x14:dxf>
          </x14:cfRule>
          <xm:sqref>O38:Q39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86" yWindow="508" count="7">
        <x14:dataValidation type="list" allowBlank="1" showInputMessage="1" showErrorMessage="1" xr:uid="{F251915E-28F1-844A-AED2-6500BE5C032A}">
          <x14:formula1>
            <xm:f>Brondata!$L$35:$L$36</xm:f>
          </x14:formula1>
          <xm:sqref>M25:N25</xm:sqref>
        </x14:dataValidation>
        <x14:dataValidation type="list" allowBlank="1" showInputMessage="1" showErrorMessage="1" xr:uid="{AE52CF69-EC90-DF42-B28F-643EB85D30B4}">
          <x14:formula1>
            <xm:f>Brondata!$L$32:$L$33</xm:f>
          </x14:formula1>
          <xm:sqref>M34:N34</xm:sqref>
        </x14:dataValidation>
        <x14:dataValidation type="list" allowBlank="1" showInputMessage="1" showErrorMessage="1" promptTitle="Leeftijd" prompt="Omdat de geboortedatum onder de AVG valt, willen we in verband met de groepsindeling de leeftijd van uw kind weten op de 1e dag van de zomerweek" xr:uid="{601709D9-06FA-4147-9D6D-C2DBC2DA867A}">
          <x14:formula1>
            <xm:f>Brondata!$N$24:$N$33</xm:f>
          </x14:formula1>
          <xm:sqref>H14</xm:sqref>
        </x14:dataValidation>
        <x14:dataValidation type="list" errorStyle="warning" allowBlank="1" showInputMessage="1" showErrorMessage="1" error="Vul alleen de groep in zonder toevoegingen" promptTitle="Verjaardag" prompt="Deze gegevens worden alleen gebruikt om uw kind even in het zonnetje te zetten." xr:uid="{7C6DA79C-9ACF-B54A-B135-9C71067F34A0}">
          <x14:formula1>
            <xm:f>Brondata!$M$35:$M$39</xm:f>
          </x14:formula1>
          <xm:sqref>M15:N15</xm:sqref>
        </x14:dataValidation>
        <x14:dataValidation type="list" errorStyle="information" allowBlank="1" showErrorMessage="1" error="Maak een keuze uit een van de 2 beschikbare periode's" promptTitle="Gebruik Dropdown menu" prompt="Geef aan onder welke categorie uw kind het volgend  schooljaar valt." xr:uid="{D7498B27-0783-3545-A33F-98F151D8C9EC}">
          <x14:formula1>
            <xm:f>Brondata!$A$23:$A$24</xm:f>
          </x14:formula1>
          <xm:sqref>F9:N9</xm:sqref>
        </x14:dataValidation>
        <x14:dataValidation type="list" allowBlank="1" showInputMessage="1" showErrorMessage="1" xr:uid="{E88D14B7-E9AD-924E-B786-4C2FF0F3DF3C}">
          <x14:formula1>
            <xm:f>Brondata!$N$35:$N$36</xm:f>
          </x14:formula1>
          <xm:sqref>M31:N33 M22:N22 M20:N20 M16:N18 J23:J25</xm:sqref>
        </x14:dataValidation>
        <x14:dataValidation type="list" errorStyle="warning" allowBlank="1" showInputMessage="1" showErrorMessage="1" error="Vul alleen de groep in zonder toevoegingen" xr:uid="{F616C845-7BFD-9244-8209-DD9B1D54CCB0}">
          <x14:formula1>
            <xm:f>Brondata!$L$25:$L$29</xm:f>
          </x14:formula1>
          <xm:sqref>M14:N14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C4F1-B6BB-6646-9FBF-00EAC2E83303}">
  <sheetPr codeName="Blad2"/>
  <dimension ref="A1:AC2"/>
  <sheetViews>
    <sheetView workbookViewId="0">
      <selection activeCell="A2" sqref="A2"/>
    </sheetView>
  </sheetViews>
  <sheetFormatPr baseColWidth="10" defaultColWidth="9.1640625" defaultRowHeight="16" zeroHeight="1" x14ac:dyDescent="0.2"/>
  <cols>
    <col min="1" max="1" width="5.6640625" style="4" customWidth="1"/>
    <col min="2" max="2" width="6.6640625" style="4" customWidth="1"/>
    <col min="3" max="3" width="12.33203125" style="4" customWidth="1"/>
    <col min="4" max="4" width="15" style="4" customWidth="1"/>
    <col min="5" max="5" width="26.6640625" style="4" customWidth="1"/>
    <col min="6" max="6" width="18.33203125" style="4" bestFit="1" customWidth="1"/>
    <col min="7" max="7" width="11.33203125" style="4" customWidth="1"/>
    <col min="8" max="8" width="8.1640625" style="4" bestFit="1" customWidth="1"/>
    <col min="9" max="16" width="5.6640625" style="4" customWidth="1"/>
    <col min="17" max="17" width="6.5" style="4" bestFit="1" customWidth="1"/>
    <col min="18" max="18" width="14.83203125" style="5" customWidth="1"/>
    <col min="19" max="19" width="15.5" style="5" customWidth="1"/>
    <col min="20" max="20" width="20.6640625" style="5" customWidth="1"/>
    <col min="21" max="22" width="17.5" style="4" customWidth="1"/>
    <col min="23" max="23" width="35.1640625" style="5" customWidth="1"/>
    <col min="24" max="24" width="6.83203125" style="4" bestFit="1" customWidth="1"/>
    <col min="25" max="27" width="6.83203125" style="4" customWidth="1"/>
    <col min="28" max="28" width="46.83203125" style="4" customWidth="1"/>
    <col min="29" max="29" width="12.5" style="4" bestFit="1" customWidth="1"/>
    <col min="30" max="16384" width="9.1640625" style="4"/>
  </cols>
  <sheetData>
    <row r="1" spans="1:29" s="3" customFormat="1" ht="80.25" customHeight="1" x14ac:dyDescent="0.2">
      <c r="A1" s="6" t="s">
        <v>39</v>
      </c>
      <c r="B1" s="6" t="s">
        <v>22</v>
      </c>
      <c r="C1" s="8" t="s">
        <v>23</v>
      </c>
      <c r="D1" s="8" t="s">
        <v>13</v>
      </c>
      <c r="E1" s="8" t="s">
        <v>24</v>
      </c>
      <c r="F1" s="8" t="s">
        <v>25</v>
      </c>
      <c r="G1" s="11" t="s">
        <v>140</v>
      </c>
      <c r="H1" s="11" t="s">
        <v>97</v>
      </c>
      <c r="I1" s="6" t="s">
        <v>26</v>
      </c>
      <c r="J1" s="6" t="s">
        <v>27</v>
      </c>
      <c r="K1" s="6" t="s">
        <v>28</v>
      </c>
      <c r="L1" s="6" t="s">
        <v>146</v>
      </c>
      <c r="M1" s="6" t="s">
        <v>104</v>
      </c>
      <c r="N1" s="6" t="s">
        <v>29</v>
      </c>
      <c r="O1" s="6" t="s">
        <v>30</v>
      </c>
      <c r="P1" s="6" t="s">
        <v>147</v>
      </c>
      <c r="Q1" s="6" t="s">
        <v>139</v>
      </c>
      <c r="R1" s="7" t="s">
        <v>31</v>
      </c>
      <c r="S1" s="7" t="s">
        <v>32</v>
      </c>
      <c r="T1" s="7" t="s">
        <v>33</v>
      </c>
      <c r="U1" s="7" t="s">
        <v>34</v>
      </c>
      <c r="V1" s="7" t="s">
        <v>35</v>
      </c>
      <c r="W1" s="7" t="s">
        <v>38</v>
      </c>
      <c r="X1" s="6" t="s">
        <v>36</v>
      </c>
      <c r="Y1" s="6" t="s">
        <v>79</v>
      </c>
      <c r="Z1" s="6" t="s">
        <v>105</v>
      </c>
      <c r="AA1" s="6" t="s">
        <v>111</v>
      </c>
      <c r="AB1" s="7" t="s">
        <v>37</v>
      </c>
      <c r="AC1" s="7" t="s">
        <v>40</v>
      </c>
    </row>
    <row r="2" spans="1:29" s="14" customFormat="1" ht="28.5" customHeight="1" x14ac:dyDescent="0.2">
      <c r="A2" s="13"/>
      <c r="B2" s="12" t="str">
        <f>IF(Formulier!F9=Brondata!A23,"Klein",(IF(Formulier!F9=Brondata!A24,"Groot","")))</f>
        <v/>
      </c>
      <c r="C2" s="12">
        <f>Formulier!E11</f>
        <v>0</v>
      </c>
      <c r="D2" s="9">
        <f>Formulier!K11</f>
        <v>0</v>
      </c>
      <c r="E2" s="9">
        <f>Formulier!E12</f>
        <v>0</v>
      </c>
      <c r="F2" s="12">
        <f>Formulier!E13</f>
        <v>0</v>
      </c>
      <c r="G2" s="15">
        <f>Formulier!H14</f>
        <v>0</v>
      </c>
      <c r="H2" s="15" t="str">
        <f>IF(Formulier!M15&gt;1,Formulier!M15,"Nee")</f>
        <v>Nee</v>
      </c>
      <c r="I2" s="15">
        <f>Formulier!M14</f>
        <v>0</v>
      </c>
      <c r="J2" s="15" t="str">
        <f>IF(Brondata!E24="Ja",Formulier!M16,"nvt")</f>
        <v>nvt</v>
      </c>
      <c r="K2" s="15" t="str">
        <f>IF(Brondata!E24="Ja",Formulier!M17,"nvt")</f>
        <v>nvt</v>
      </c>
      <c r="L2" s="15" t="str">
        <f>IF(Brondata!E24="Ja",Formulier!M18,"nvt")</f>
        <v>nvt</v>
      </c>
      <c r="M2" s="15">
        <f>Formulier!M20</f>
        <v>0</v>
      </c>
      <c r="N2" s="12" t="str">
        <f>IF(Formulier!F9=Brondata!A24,Formulier!J23,"nvt")</f>
        <v>nvt</v>
      </c>
      <c r="O2" s="12" t="str">
        <f>IF(Formulier!F9=Brondata!A24,Formulier!J24,"nvt")</f>
        <v>nvt</v>
      </c>
      <c r="P2" s="12">
        <f>Formulier!J25</f>
        <v>0</v>
      </c>
      <c r="Q2" s="12">
        <f>Formulier!M25</f>
        <v>0</v>
      </c>
      <c r="R2" s="12">
        <f>Formulier!J26</f>
        <v>0</v>
      </c>
      <c r="S2" s="9">
        <f>Formulier!E28</f>
        <v>0</v>
      </c>
      <c r="T2" s="9">
        <f>Formulier!K28</f>
        <v>0</v>
      </c>
      <c r="U2" s="9">
        <f>Formulier!E29</f>
        <v>0</v>
      </c>
      <c r="V2" s="9">
        <f>Formulier!K29</f>
        <v>0</v>
      </c>
      <c r="W2" s="9">
        <f>Formulier!E30</f>
        <v>0</v>
      </c>
      <c r="X2" s="15">
        <f>Formulier!M31</f>
        <v>0</v>
      </c>
      <c r="Y2" s="15">
        <f>Formulier!M32</f>
        <v>0</v>
      </c>
      <c r="Z2" s="15">
        <f>Formulier!M33</f>
        <v>0</v>
      </c>
      <c r="AA2" s="12">
        <f>Formulier!M34</f>
        <v>0</v>
      </c>
      <c r="AB2" s="12">
        <f>Formulier!F35</f>
        <v>0</v>
      </c>
      <c r="AC2" s="12" t="e">
        <f>Brondata!I56</f>
        <v>#N/A</v>
      </c>
    </row>
  </sheetData>
  <sheetProtection algorithmName="SHA-512" hashValue="6L/gwTsh+2DzU/jDgP2ll4vEdfm4381z1E+9fv6ZO8PDt3fe25ikrop9UpCG9uXnMM567RVeA0u9WhQYZWLx/w==" saltValue="RSfjduiM6JQSvZiYJt2ljQ==" spinCount="100000" sheet="1" objects="1" scenarios="1"/>
  <conditionalFormatting sqref="B2:AC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&amp;L&amp;"SABIC Typeface Headline Light"&amp;10&amp;Ka7a8aaClassification: General Business Use&amp;1#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E709-4C8F-6F42-B16A-50908AAD1256}">
  <dimension ref="A1:O95"/>
  <sheetViews>
    <sheetView zoomScale="160" zoomScaleNormal="160" workbookViewId="0">
      <selection activeCell="F1" sqref="F1"/>
    </sheetView>
  </sheetViews>
  <sheetFormatPr baseColWidth="10" defaultRowHeight="14" x14ac:dyDescent="0.2"/>
  <cols>
    <col min="1" max="6" width="10.83203125" style="36"/>
    <col min="7" max="7" width="8.83203125" style="36" customWidth="1"/>
    <col min="8" max="8" width="10.83203125" style="36" customWidth="1"/>
    <col min="9" max="10" width="10.83203125" style="36"/>
    <col min="11" max="11" width="5.1640625" style="36" bestFit="1" customWidth="1"/>
    <col min="12" max="12" width="11.83203125" style="36" customWidth="1"/>
    <col min="13" max="13" width="8.83203125" style="36" bestFit="1" customWidth="1"/>
    <col min="14" max="14" width="6.83203125" style="36" bestFit="1" customWidth="1"/>
    <col min="15" max="16384" width="10.83203125" style="36"/>
  </cols>
  <sheetData>
    <row r="1" spans="1:15" s="32" customFormat="1" ht="25" thickBot="1" x14ac:dyDescent="0.25">
      <c r="A1" s="368" t="s">
        <v>155</v>
      </c>
      <c r="B1" s="369"/>
      <c r="C1" s="369"/>
      <c r="D1" s="369"/>
      <c r="E1" s="29" t="s">
        <v>189</v>
      </c>
      <c r="F1" s="30" t="s">
        <v>231</v>
      </c>
      <c r="G1" s="389" t="s">
        <v>172</v>
      </c>
      <c r="H1" s="369"/>
      <c r="I1" s="369"/>
      <c r="J1" s="369"/>
      <c r="K1" s="369"/>
      <c r="L1" s="369"/>
      <c r="M1" s="369"/>
      <c r="N1" s="390"/>
    </row>
    <row r="2" spans="1:15" x14ac:dyDescent="0.2">
      <c r="A2" s="407" t="s">
        <v>156</v>
      </c>
      <c r="B2" s="408"/>
      <c r="C2" s="401" t="s">
        <v>220</v>
      </c>
      <c r="D2" s="402"/>
      <c r="E2" s="402"/>
      <c r="F2" s="403"/>
      <c r="G2" s="33"/>
      <c r="H2" s="34" t="s">
        <v>176</v>
      </c>
      <c r="I2" s="372" t="s">
        <v>180</v>
      </c>
      <c r="J2" s="372"/>
      <c r="K2" s="372"/>
      <c r="L2" s="372"/>
      <c r="M2" s="373"/>
      <c r="N2" s="35"/>
    </row>
    <row r="3" spans="1:15" ht="15" thickBot="1" x14ac:dyDescent="0.25">
      <c r="A3" s="381" t="s">
        <v>157</v>
      </c>
      <c r="B3" s="382"/>
      <c r="C3" s="404" t="s">
        <v>221</v>
      </c>
      <c r="D3" s="405"/>
      <c r="E3" s="405"/>
      <c r="F3" s="406"/>
      <c r="G3" s="33"/>
      <c r="H3" s="37" t="s">
        <v>176</v>
      </c>
      <c r="I3" s="391" t="s">
        <v>179</v>
      </c>
      <c r="J3" s="391"/>
      <c r="K3" s="391"/>
      <c r="L3" s="391"/>
      <c r="M3" s="392"/>
      <c r="N3" s="35"/>
    </row>
    <row r="4" spans="1:15" x14ac:dyDescent="0.2">
      <c r="A4" s="407" t="s">
        <v>161</v>
      </c>
      <c r="B4" s="408"/>
      <c r="C4" s="408"/>
      <c r="D4" s="409"/>
      <c r="E4" s="401" t="s">
        <v>222</v>
      </c>
      <c r="F4" s="402"/>
      <c r="G4" s="33"/>
      <c r="H4" s="40" t="s">
        <v>176</v>
      </c>
      <c r="I4" s="38" t="s">
        <v>178</v>
      </c>
      <c r="J4" s="38"/>
      <c r="K4" s="38"/>
      <c r="L4" s="38"/>
      <c r="M4" s="39"/>
      <c r="N4" s="35"/>
    </row>
    <row r="5" spans="1:15" x14ac:dyDescent="0.2">
      <c r="A5" s="370" t="s">
        <v>160</v>
      </c>
      <c r="B5" s="371"/>
      <c r="C5" s="371" t="s">
        <v>190</v>
      </c>
      <c r="D5" s="383"/>
      <c r="E5" s="417">
        <v>46251</v>
      </c>
      <c r="F5" s="418"/>
      <c r="G5" s="41"/>
      <c r="H5" s="42" t="s">
        <v>176</v>
      </c>
      <c r="I5" s="343" t="s">
        <v>177</v>
      </c>
      <c r="J5" s="343"/>
      <c r="K5" s="343"/>
      <c r="L5" s="343"/>
      <c r="M5" s="344"/>
      <c r="N5" s="35"/>
    </row>
    <row r="6" spans="1:15" ht="15" customHeight="1" x14ac:dyDescent="0.2">
      <c r="A6" s="370" t="s">
        <v>192</v>
      </c>
      <c r="B6" s="371"/>
      <c r="C6" s="371" t="s">
        <v>190</v>
      </c>
      <c r="D6" s="383"/>
      <c r="E6" s="417">
        <v>46244</v>
      </c>
      <c r="F6" s="418"/>
      <c r="G6" s="41"/>
      <c r="H6" s="43" t="s">
        <v>176</v>
      </c>
      <c r="I6" s="345" t="s">
        <v>181</v>
      </c>
      <c r="J6" s="345"/>
      <c r="K6" s="345"/>
      <c r="L6" s="345"/>
      <c r="M6" s="346"/>
      <c r="N6" s="35"/>
    </row>
    <row r="7" spans="1:15" ht="15" customHeight="1" x14ac:dyDescent="0.2">
      <c r="A7" s="370" t="s">
        <v>193</v>
      </c>
      <c r="B7" s="371"/>
      <c r="C7" s="371" t="s">
        <v>191</v>
      </c>
      <c r="D7" s="383"/>
      <c r="E7" s="393" t="s">
        <v>224</v>
      </c>
      <c r="F7" s="419"/>
      <c r="G7" s="41"/>
      <c r="H7" s="44" t="s">
        <v>176</v>
      </c>
      <c r="I7" s="343" t="s">
        <v>199</v>
      </c>
      <c r="J7" s="343"/>
      <c r="K7" s="343"/>
      <c r="L7" s="343"/>
      <c r="M7" s="344"/>
      <c r="N7" s="35"/>
    </row>
    <row r="8" spans="1:15" ht="15" customHeight="1" thickBot="1" x14ac:dyDescent="0.25">
      <c r="A8" s="381" t="s">
        <v>223</v>
      </c>
      <c r="B8" s="382"/>
      <c r="C8" s="382" t="s">
        <v>191</v>
      </c>
      <c r="D8" s="384"/>
      <c r="E8" s="415" t="s">
        <v>224</v>
      </c>
      <c r="F8" s="416"/>
      <c r="G8" s="41"/>
      <c r="H8" s="45" t="s">
        <v>176</v>
      </c>
      <c r="I8" s="385" t="s">
        <v>173</v>
      </c>
      <c r="J8" s="385"/>
      <c r="K8" s="385"/>
      <c r="L8" s="385"/>
      <c r="M8" s="386"/>
      <c r="N8" s="35"/>
    </row>
    <row r="9" spans="1:15" x14ac:dyDescent="0.2">
      <c r="A9" s="46" t="s">
        <v>162</v>
      </c>
      <c r="B9" s="429" t="s">
        <v>129</v>
      </c>
      <c r="C9" s="429"/>
      <c r="D9" s="47" t="s">
        <v>163</v>
      </c>
      <c r="E9" s="420" t="s">
        <v>186</v>
      </c>
      <c r="F9" s="421"/>
      <c r="G9" s="48"/>
      <c r="H9" s="49" t="s">
        <v>176</v>
      </c>
      <c r="I9" s="385" t="s">
        <v>175</v>
      </c>
      <c r="J9" s="385"/>
      <c r="K9" s="385"/>
      <c r="L9" s="385"/>
      <c r="M9" s="386"/>
      <c r="N9" s="35"/>
      <c r="O9" s="50"/>
    </row>
    <row r="10" spans="1:15" ht="14" customHeight="1" x14ac:dyDescent="0.2">
      <c r="A10" s="51" t="s">
        <v>162</v>
      </c>
      <c r="B10" s="460" t="s">
        <v>130</v>
      </c>
      <c r="C10" s="460"/>
      <c r="D10" s="52" t="s">
        <v>163</v>
      </c>
      <c r="E10" s="393" t="s">
        <v>187</v>
      </c>
      <c r="F10" s="419"/>
      <c r="G10" s="48"/>
      <c r="H10" s="106" t="s">
        <v>176</v>
      </c>
      <c r="I10" s="385" t="s">
        <v>217</v>
      </c>
      <c r="J10" s="385"/>
      <c r="K10" s="385"/>
      <c r="L10" s="385"/>
      <c r="M10" s="386"/>
      <c r="N10" s="35"/>
      <c r="O10" s="54"/>
    </row>
    <row r="11" spans="1:15" ht="15" customHeight="1" x14ac:dyDescent="0.2">
      <c r="A11" s="51" t="s">
        <v>162</v>
      </c>
      <c r="B11" s="460" t="s">
        <v>131</v>
      </c>
      <c r="C11" s="460"/>
      <c r="D11" s="52" t="s">
        <v>163</v>
      </c>
      <c r="E11" s="393" t="s">
        <v>229</v>
      </c>
      <c r="F11" s="419"/>
      <c r="G11" s="48"/>
      <c r="H11" s="53" t="s">
        <v>176</v>
      </c>
      <c r="I11" s="385" t="s">
        <v>213</v>
      </c>
      <c r="J11" s="385"/>
      <c r="K11" s="385"/>
      <c r="L11" s="385"/>
      <c r="M11" s="386"/>
      <c r="N11" s="35"/>
      <c r="O11" s="55"/>
    </row>
    <row r="12" spans="1:15" ht="15" customHeight="1" x14ac:dyDescent="0.2">
      <c r="A12" s="51" t="s">
        <v>162</v>
      </c>
      <c r="B12" s="460" t="s">
        <v>194</v>
      </c>
      <c r="C12" s="460"/>
      <c r="D12" s="52" t="s">
        <v>163</v>
      </c>
      <c r="E12" s="393" t="s">
        <v>230</v>
      </c>
      <c r="F12" s="419"/>
      <c r="G12" s="465" t="s">
        <v>205</v>
      </c>
      <c r="H12" s="466"/>
      <c r="I12" s="466"/>
      <c r="J12" s="466"/>
      <c r="K12" s="466"/>
      <c r="L12" s="466"/>
      <c r="M12" s="466"/>
      <c r="N12" s="467"/>
      <c r="O12" s="54"/>
    </row>
    <row r="13" spans="1:15" ht="15" customHeight="1" x14ac:dyDescent="0.2">
      <c r="A13" s="51" t="s">
        <v>162</v>
      </c>
      <c r="B13" s="460" t="s">
        <v>133</v>
      </c>
      <c r="C13" s="460"/>
      <c r="D13" s="52" t="s">
        <v>163</v>
      </c>
      <c r="E13" s="393" t="s">
        <v>186</v>
      </c>
      <c r="F13" s="419"/>
      <c r="G13" s="468"/>
      <c r="H13" s="469"/>
      <c r="I13" s="469"/>
      <c r="J13" s="469"/>
      <c r="K13" s="469"/>
      <c r="L13" s="469"/>
      <c r="M13" s="469"/>
      <c r="N13" s="470"/>
      <c r="O13" s="54"/>
    </row>
    <row r="14" spans="1:15" ht="15" customHeight="1" x14ac:dyDescent="0.2">
      <c r="A14" s="51" t="s">
        <v>162</v>
      </c>
      <c r="B14" s="460" t="s">
        <v>134</v>
      </c>
      <c r="C14" s="460"/>
      <c r="D14" s="52" t="s">
        <v>163</v>
      </c>
      <c r="E14" s="393" t="s">
        <v>187</v>
      </c>
      <c r="F14" s="419"/>
      <c r="G14" s="31">
        <v>1</v>
      </c>
      <c r="H14" s="471" t="s">
        <v>207</v>
      </c>
      <c r="I14" s="343"/>
      <c r="J14" s="343"/>
      <c r="K14" s="343"/>
      <c r="L14" s="343"/>
      <c r="M14" s="344"/>
      <c r="N14" s="56"/>
      <c r="O14" s="50"/>
    </row>
    <row r="15" spans="1:15" ht="14" customHeight="1" x14ac:dyDescent="0.2">
      <c r="A15" s="51" t="s">
        <v>162</v>
      </c>
      <c r="B15" s="460" t="s">
        <v>135</v>
      </c>
      <c r="C15" s="460"/>
      <c r="D15" s="52" t="s">
        <v>163</v>
      </c>
      <c r="E15" s="393" t="s">
        <v>229</v>
      </c>
      <c r="F15" s="419"/>
      <c r="G15" s="31">
        <v>2</v>
      </c>
      <c r="H15" s="471" t="s">
        <v>208</v>
      </c>
      <c r="I15" s="343"/>
      <c r="J15" s="343"/>
      <c r="K15" s="343"/>
      <c r="L15" s="343"/>
      <c r="M15" s="344"/>
      <c r="N15" s="56"/>
      <c r="O15" s="50"/>
    </row>
    <row r="16" spans="1:15" ht="15" customHeight="1" x14ac:dyDescent="0.2">
      <c r="A16" s="51" t="s">
        <v>162</v>
      </c>
      <c r="B16" s="460" t="s">
        <v>195</v>
      </c>
      <c r="C16" s="460"/>
      <c r="D16" s="52" t="s">
        <v>163</v>
      </c>
      <c r="E16" s="393" t="s">
        <v>230</v>
      </c>
      <c r="F16" s="394"/>
      <c r="G16" s="31">
        <v>3</v>
      </c>
      <c r="H16" s="471" t="s">
        <v>209</v>
      </c>
      <c r="I16" s="343"/>
      <c r="J16" s="343"/>
      <c r="K16" s="343"/>
      <c r="L16" s="343"/>
      <c r="M16" s="344"/>
      <c r="N16" s="56"/>
      <c r="O16" s="54"/>
    </row>
    <row r="17" spans="1:14" ht="16" customHeight="1" thickBot="1" x14ac:dyDescent="0.25">
      <c r="A17" s="57" t="s">
        <v>162</v>
      </c>
      <c r="B17" s="461" t="s">
        <v>164</v>
      </c>
      <c r="C17" s="461"/>
      <c r="D17" s="58" t="s">
        <v>163</v>
      </c>
      <c r="E17" s="395" t="s">
        <v>154</v>
      </c>
      <c r="F17" s="396"/>
      <c r="G17" s="31">
        <v>4</v>
      </c>
      <c r="H17" s="471" t="s">
        <v>206</v>
      </c>
      <c r="I17" s="343"/>
      <c r="J17" s="343"/>
      <c r="K17" s="343"/>
      <c r="L17" s="343"/>
      <c r="M17" s="344"/>
      <c r="N17" s="59"/>
    </row>
    <row r="18" spans="1:14" x14ac:dyDescent="0.2">
      <c r="A18" s="428" t="s">
        <v>168</v>
      </c>
      <c r="B18" s="429"/>
      <c r="C18" s="429" t="s">
        <v>169</v>
      </c>
      <c r="D18" s="462"/>
      <c r="E18" s="397" t="s">
        <v>188</v>
      </c>
      <c r="F18" s="398"/>
      <c r="G18" s="31">
        <v>5</v>
      </c>
      <c r="H18" s="471" t="s">
        <v>212</v>
      </c>
      <c r="I18" s="343"/>
      <c r="J18" s="343"/>
      <c r="K18" s="343"/>
      <c r="L18" s="343"/>
      <c r="M18" s="344"/>
      <c r="N18" s="60"/>
    </row>
    <row r="19" spans="1:14" ht="15" thickBot="1" x14ac:dyDescent="0.25">
      <c r="A19" s="463" t="s">
        <v>165</v>
      </c>
      <c r="B19" s="460"/>
      <c r="C19" s="460" t="s">
        <v>166</v>
      </c>
      <c r="D19" s="464"/>
      <c r="E19" s="399" t="s">
        <v>225</v>
      </c>
      <c r="F19" s="400"/>
      <c r="G19" s="61"/>
      <c r="H19" s="62"/>
      <c r="I19" s="62"/>
      <c r="J19" s="62"/>
      <c r="K19" s="62"/>
      <c r="L19" s="62"/>
      <c r="M19" s="62"/>
      <c r="N19" s="63"/>
    </row>
    <row r="20" spans="1:14" ht="15" thickBot="1" x14ac:dyDescent="0.25">
      <c r="A20" s="463" t="s">
        <v>165</v>
      </c>
      <c r="B20" s="460"/>
      <c r="C20" s="460" t="s">
        <v>58</v>
      </c>
      <c r="D20" s="464"/>
      <c r="E20" s="399" t="s">
        <v>225</v>
      </c>
      <c r="F20" s="400"/>
      <c r="G20" s="61"/>
      <c r="H20" s="64" t="s">
        <v>210</v>
      </c>
      <c r="I20" s="458" t="s">
        <v>211</v>
      </c>
      <c r="J20" s="459"/>
      <c r="K20" s="62"/>
      <c r="L20" s="62"/>
      <c r="M20" s="62"/>
      <c r="N20" s="63"/>
    </row>
    <row r="21" spans="1:14" ht="15" thickBot="1" x14ac:dyDescent="0.25">
      <c r="A21" s="473" t="s">
        <v>165</v>
      </c>
      <c r="B21" s="474"/>
      <c r="C21" s="474" t="s">
        <v>59</v>
      </c>
      <c r="D21" s="475"/>
      <c r="E21" s="387" t="s">
        <v>225</v>
      </c>
      <c r="F21" s="388"/>
      <c r="G21" s="61"/>
      <c r="H21" s="65"/>
      <c r="I21" s="65"/>
      <c r="J21" s="65"/>
      <c r="K21" s="66"/>
      <c r="L21" s="66"/>
      <c r="M21" s="66"/>
      <c r="N21" s="35"/>
    </row>
    <row r="22" spans="1:14" s="32" customFormat="1" ht="25" thickBot="1" x14ac:dyDescent="0.25">
      <c r="A22" s="368" t="s">
        <v>0</v>
      </c>
      <c r="B22" s="369"/>
      <c r="C22" s="369"/>
      <c r="D22" s="369"/>
      <c r="E22" s="369"/>
      <c r="F22" s="369"/>
      <c r="G22" s="369"/>
      <c r="H22" s="369"/>
      <c r="I22" s="369"/>
      <c r="J22" s="369"/>
      <c r="K22" s="472"/>
      <c r="L22" s="389" t="s">
        <v>85</v>
      </c>
      <c r="M22" s="369"/>
      <c r="N22" s="390"/>
    </row>
    <row r="23" spans="1:14" x14ac:dyDescent="0.2">
      <c r="A23" s="428" t="s">
        <v>41</v>
      </c>
      <c r="B23" s="429"/>
      <c r="C23" s="429"/>
      <c r="D23" s="429"/>
      <c r="E23" s="67" t="str">
        <f>IF(A23=Formulier!F9,"Ja","Nee")</f>
        <v>Nee</v>
      </c>
      <c r="F23" s="247" t="s">
        <v>10</v>
      </c>
      <c r="G23" s="248"/>
      <c r="H23" s="67" t="str">
        <f>CONCATENATE(E23,Formulier!M16)</f>
        <v>Nee</v>
      </c>
      <c r="I23" s="247" t="s">
        <v>102</v>
      </c>
      <c r="J23" s="248"/>
      <c r="K23" s="68" t="str">
        <f>CONCATENATE(E23,Formulier!M20)</f>
        <v>Nee</v>
      </c>
      <c r="L23" s="457" t="s">
        <v>167</v>
      </c>
      <c r="M23" s="69" t="s">
        <v>158</v>
      </c>
      <c r="N23" s="69" t="s">
        <v>84</v>
      </c>
    </row>
    <row r="24" spans="1:14" x14ac:dyDescent="0.2">
      <c r="A24" s="428" t="s">
        <v>42</v>
      </c>
      <c r="B24" s="429"/>
      <c r="C24" s="429"/>
      <c r="D24" s="429"/>
      <c r="E24" s="67" t="str">
        <f>IF(A24=Formulier!F9,"Ja","Nee")</f>
        <v>Nee</v>
      </c>
      <c r="F24" s="247" t="s">
        <v>11</v>
      </c>
      <c r="G24" s="248"/>
      <c r="H24" s="67" t="str">
        <f>CONCATENATE(E24,Formulier!M16)</f>
        <v>Nee</v>
      </c>
      <c r="I24" s="260" t="s">
        <v>103</v>
      </c>
      <c r="J24" s="261"/>
      <c r="K24" s="70" t="str">
        <f>CONCATENATE(E24,Formulier!M20)</f>
        <v>Nee</v>
      </c>
      <c r="L24" s="457"/>
      <c r="M24" s="71">
        <v>1</v>
      </c>
      <c r="N24" s="71">
        <v>4</v>
      </c>
    </row>
    <row r="25" spans="1:14" x14ac:dyDescent="0.2">
      <c r="A25" s="272" t="s">
        <v>218</v>
      </c>
      <c r="B25" s="273"/>
      <c r="C25" s="273"/>
      <c r="D25" s="273"/>
      <c r="E25" s="274"/>
      <c r="F25" s="72" t="s">
        <v>148</v>
      </c>
      <c r="G25" s="73">
        <f>Formulier!J25</f>
        <v>0</v>
      </c>
      <c r="H25" s="74" t="str">
        <f>IF(G25="Ja","Ja","Nee")</f>
        <v>Nee</v>
      </c>
      <c r="I25" s="260" t="s">
        <v>14</v>
      </c>
      <c r="J25" s="261"/>
      <c r="K25" s="70" t="str">
        <f>CONCATENATE(K24,(IF(Formulier!M14&gt;5,"Ja","Nee")))</f>
        <v>NeeNee</v>
      </c>
      <c r="L25" s="75" t="str">
        <f>IF(E23="Ja",1,(IF(E24="Ja",6,"Ga naar:")))</f>
        <v>Ga naar:</v>
      </c>
      <c r="M25" s="76">
        <v>2</v>
      </c>
      <c r="N25" s="76">
        <v>5</v>
      </c>
    </row>
    <row r="26" spans="1:14" x14ac:dyDescent="0.2">
      <c r="A26" s="95" t="str">
        <f>IF(Formulier!J23="Ja","Ja","")</f>
        <v/>
      </c>
      <c r="B26" s="291" t="s">
        <v>141</v>
      </c>
      <c r="C26" s="292"/>
      <c r="D26" s="292"/>
      <c r="E26" s="293"/>
      <c r="F26" s="72" t="s">
        <v>174</v>
      </c>
      <c r="G26" s="73">
        <f>Formulier!M20</f>
        <v>0</v>
      </c>
      <c r="H26" s="74" t="str">
        <f>IF(G26="Ja","Ja","Nee")</f>
        <v>Nee</v>
      </c>
      <c r="I26" s="324" t="str">
        <f>IF(Formulier!E11="","Uw kind",Formulier!E11)</f>
        <v>Uw kind</v>
      </c>
      <c r="J26" s="324"/>
      <c r="K26" s="325"/>
      <c r="L26" s="75" t="str">
        <f>IF(E23="Ja",2,(IF(E24="Ja",7,"&lt;Start hier&gt;")))</f>
        <v>&lt;Start hier&gt;</v>
      </c>
      <c r="M26" s="76">
        <v>3</v>
      </c>
      <c r="N26" s="76">
        <v>6</v>
      </c>
    </row>
    <row r="27" spans="1:14" x14ac:dyDescent="0.2">
      <c r="A27" s="95" t="str">
        <f>IF(OR(Formulier!M14=6,Formulier!M14=7),"Ja","")</f>
        <v/>
      </c>
      <c r="B27" s="326" t="s">
        <v>226</v>
      </c>
      <c r="C27" s="326"/>
      <c r="D27" s="326"/>
      <c r="E27" s="326"/>
      <c r="F27" s="288" t="str">
        <f>IF(A27="Ja",B27,(IF(A28="Ja",B28,"")))</f>
        <v/>
      </c>
      <c r="G27" s="289"/>
      <c r="H27" s="290"/>
      <c r="I27" s="359" t="str">
        <f>CONCATENATE(Formulier!E11," ",Formulier!K11)</f>
        <v xml:space="preserve"> </v>
      </c>
      <c r="J27" s="359"/>
      <c r="K27" s="359"/>
      <c r="L27" s="75" t="str">
        <f>IF(E23="Ja",3,(IF(E24="Ja",8,"en kies")))</f>
        <v>en kies</v>
      </c>
      <c r="M27" s="76">
        <v>4</v>
      </c>
      <c r="N27" s="76">
        <v>7</v>
      </c>
    </row>
    <row r="28" spans="1:14" s="23" customFormat="1" x14ac:dyDescent="0.2">
      <c r="A28" s="95" t="str">
        <f>IF(OR(Formulier!M14=8,Formulier!M14="Brugklas"),"Ja","")</f>
        <v/>
      </c>
      <c r="B28" s="326" t="s">
        <v>196</v>
      </c>
      <c r="C28" s="326"/>
      <c r="D28" s="326"/>
      <c r="E28" s="326"/>
      <c r="F28" s="78"/>
      <c r="G28" s="79"/>
      <c r="H28" s="311" t="s">
        <v>183</v>
      </c>
      <c r="I28" s="316"/>
      <c r="J28" s="327">
        <f ca="1">TODAY()</f>
        <v>46202</v>
      </c>
      <c r="K28" s="329"/>
      <c r="L28" s="75" t="str">
        <f>IF(E23="Ja",4,(IF(E24="Ja","Brugklas","de juiste")))</f>
        <v>de juiste</v>
      </c>
      <c r="M28" s="76">
        <v>5</v>
      </c>
      <c r="N28" s="76">
        <v>8</v>
      </c>
    </row>
    <row r="29" spans="1:14" s="23" customFormat="1" x14ac:dyDescent="0.2">
      <c r="A29" s="374" t="e">
        <f>"De kosten voor de "&amp;C3&amp;" zomerweek van "&amp;I26&amp;" bedragen: "&amp;I56</f>
        <v>#N/A</v>
      </c>
      <c r="B29" s="375"/>
      <c r="C29" s="375"/>
      <c r="D29" s="375"/>
      <c r="E29" s="375"/>
      <c r="F29" s="375"/>
      <c r="G29" s="376"/>
      <c r="H29" s="311" t="s">
        <v>184</v>
      </c>
      <c r="I29" s="316"/>
      <c r="J29" s="327">
        <f>E6</f>
        <v>46244</v>
      </c>
      <c r="K29" s="328"/>
      <c r="L29" s="80" t="str">
        <f>IF(E23="Ja",5,(IF(E24="Ja","","leeftijdscategorie")))</f>
        <v>leeftijdscategorie</v>
      </c>
      <c r="M29" s="76">
        <v>6</v>
      </c>
      <c r="N29" s="76">
        <v>9</v>
      </c>
    </row>
    <row r="30" spans="1:14" x14ac:dyDescent="0.2">
      <c r="A30" s="380" t="str">
        <f>CONCATENATE("Mag ",I26," meedoen aan de spooktocht?*")</f>
        <v>Mag Uw kind meedoen aan de spooktocht?*</v>
      </c>
      <c r="B30" s="380"/>
      <c r="C30" s="380"/>
      <c r="D30" s="380"/>
      <c r="E30" s="377"/>
      <c r="F30" s="378"/>
      <c r="G30" s="379"/>
      <c r="H30" s="260" t="s">
        <v>182</v>
      </c>
      <c r="I30" s="261"/>
      <c r="J30" s="330" t="str">
        <f ca="1">IF(J28&gt;J29,"Nee","Ja")</f>
        <v>Ja</v>
      </c>
      <c r="K30" s="328"/>
      <c r="L30" s="81"/>
      <c r="M30" s="76">
        <v>7</v>
      </c>
      <c r="N30" s="76">
        <v>10</v>
      </c>
    </row>
    <row r="31" spans="1:14" x14ac:dyDescent="0.2">
      <c r="A31" s="380" t="str">
        <f>CONCATENATE("Mag ",I26," eind van de dag blijven slapen?*")</f>
        <v>Mag Uw kind eind van de dag blijven slapen?*</v>
      </c>
      <c r="B31" s="380"/>
      <c r="C31" s="380"/>
      <c r="D31" s="380"/>
      <c r="E31" s="380" t="s">
        <v>227</v>
      </c>
      <c r="F31" s="380"/>
      <c r="G31" s="380"/>
      <c r="H31" s="260" t="s">
        <v>101</v>
      </c>
      <c r="I31" s="261"/>
      <c r="J31" s="327">
        <f>J29+1</f>
        <v>46245</v>
      </c>
      <c r="K31" s="328"/>
      <c r="L31" s="82" t="s">
        <v>204</v>
      </c>
      <c r="M31" s="76">
        <v>8</v>
      </c>
      <c r="N31" s="76">
        <v>11</v>
      </c>
    </row>
    <row r="32" spans="1:14" x14ac:dyDescent="0.2">
      <c r="A32" s="380" t="str">
        <f>CONCATENATE("Mag ",I26," mee gaan zwemmen?*")</f>
        <v>Mag Uw kind mee gaan zwemmen?*</v>
      </c>
      <c r="B32" s="380"/>
      <c r="C32" s="380"/>
      <c r="D32" s="380"/>
      <c r="E32" s="430"/>
      <c r="F32" s="431"/>
      <c r="G32" s="431"/>
      <c r="H32" s="410"/>
      <c r="I32" s="410"/>
      <c r="J32" s="410"/>
      <c r="K32" s="411"/>
      <c r="L32" s="76" t="s">
        <v>112</v>
      </c>
      <c r="M32" s="76"/>
      <c r="N32" s="76">
        <v>12</v>
      </c>
    </row>
    <row r="33" spans="1:14" x14ac:dyDescent="0.2">
      <c r="A33" s="196" t="s">
        <v>9</v>
      </c>
      <c r="B33" s="197"/>
      <c r="C33" s="270"/>
      <c r="D33" s="357" t="str">
        <f>IF(E24="Ja","We gaan op de fiets, zorg alsjeblieft dat deze technisch in orde is. Fatbikes zijn niet toegestaan!","")</f>
        <v/>
      </c>
      <c r="E33" s="357"/>
      <c r="F33" s="357"/>
      <c r="G33" s="357"/>
      <c r="H33" s="357"/>
      <c r="I33" s="357"/>
      <c r="J33" s="357"/>
      <c r="K33" s="358"/>
      <c r="L33" s="76" t="s">
        <v>108</v>
      </c>
      <c r="M33" s="84"/>
      <c r="N33" s="84">
        <v>13</v>
      </c>
    </row>
    <row r="34" spans="1:14" ht="14" customHeight="1" x14ac:dyDescent="0.2">
      <c r="A34" s="432" t="str">
        <f>"Heeft "&amp;I26&amp;" minimaal één zwemdiploma?*"</f>
        <v>Heeft Uw kind minimaal één zwemdiploma?*</v>
      </c>
      <c r="B34" s="432"/>
      <c r="C34" s="432"/>
      <c r="D34" s="432"/>
      <c r="E34" s="422" t="str">
        <f>"Wat is de lengte (in cm's) van "&amp;I26&amp;"? Ivm toegang tot de attacties in "&amp;I35&amp;".*"</f>
        <v>Wat is de lengte (in cm's) van Uw kind? Ivm toegang tot de attacties in Bobbejaanland.*</v>
      </c>
      <c r="F34" s="423"/>
      <c r="G34" s="423"/>
      <c r="H34" s="424"/>
      <c r="I34" s="156" t="s">
        <v>185</v>
      </c>
      <c r="J34" s="157"/>
      <c r="K34" s="265"/>
      <c r="L34" s="82" t="s">
        <v>197</v>
      </c>
      <c r="M34" s="82" t="s">
        <v>90</v>
      </c>
      <c r="N34" s="82" t="s">
        <v>159</v>
      </c>
    </row>
    <row r="35" spans="1:14" ht="15" customHeight="1" x14ac:dyDescent="0.2">
      <c r="A35" s="432" t="str">
        <f>"Heeft "&amp;I26&amp;" een abonnement voor "&amp;E18&amp;"?"</f>
        <v>Heeft Uw kind een abonnement voor Laco?</v>
      </c>
      <c r="B35" s="432"/>
      <c r="C35" s="432"/>
      <c r="D35" s="432"/>
      <c r="E35" s="425"/>
      <c r="F35" s="426"/>
      <c r="G35" s="426"/>
      <c r="H35" s="427"/>
      <c r="I35" s="412" t="str">
        <f>IF(E23="Ja",E21,(IF(E24="Ja",E20,E19)))</f>
        <v>Bobbejaanland</v>
      </c>
      <c r="J35" s="413"/>
      <c r="K35" s="414"/>
      <c r="L35" s="71" t="s">
        <v>198</v>
      </c>
      <c r="M35" s="71" t="s">
        <v>91</v>
      </c>
      <c r="N35" s="71" t="s">
        <v>1</v>
      </c>
    </row>
    <row r="36" spans="1:14" x14ac:dyDescent="0.2">
      <c r="A36" s="432" t="str">
        <f>CONCATENATE("Mag ",I26," zonder begeleiding door ",I35," lopen?*")</f>
        <v>Mag Uw kind zonder begeleiding door Bobbejaanland lopen?*</v>
      </c>
      <c r="B36" s="432"/>
      <c r="C36" s="432"/>
      <c r="D36" s="432"/>
      <c r="E36" s="272" t="s">
        <v>228</v>
      </c>
      <c r="F36" s="273"/>
      <c r="G36" s="273"/>
      <c r="H36" s="273"/>
      <c r="I36" s="273"/>
      <c r="J36" s="273"/>
      <c r="K36" s="274"/>
      <c r="L36" s="84" t="s">
        <v>170</v>
      </c>
      <c r="M36" s="76" t="s">
        <v>92</v>
      </c>
      <c r="N36" s="76" t="s">
        <v>2</v>
      </c>
    </row>
    <row r="37" spans="1:14" x14ac:dyDescent="0.2">
      <c r="A37" s="432" t="str">
        <f>CONCATENATE(I26," wil graag in het groepje bij (max. 1)")</f>
        <v>Uw kind wil graag in het groepje bij (max. 1)</v>
      </c>
      <c r="B37" s="432"/>
      <c r="C37" s="432"/>
      <c r="D37" s="432"/>
      <c r="E37" s="115"/>
      <c r="F37" s="116"/>
      <c r="G37" s="116"/>
      <c r="H37" s="116"/>
      <c r="I37" s="116"/>
      <c r="J37" s="116"/>
      <c r="K37" s="117"/>
      <c r="L37" s="81"/>
      <c r="M37" s="76" t="s">
        <v>93</v>
      </c>
      <c r="N37" s="76"/>
    </row>
    <row r="38" spans="1:14" x14ac:dyDescent="0.2">
      <c r="A38" s="380" t="str">
        <f>CONCATENATE(I26," wil liever niet in het groepje bij (max. 1)")</f>
        <v>Uw kind wil liever niet in het groepje bij (max. 1)</v>
      </c>
      <c r="B38" s="380"/>
      <c r="C38" s="380"/>
      <c r="D38" s="380"/>
      <c r="E38" s="78"/>
      <c r="F38" s="79"/>
      <c r="G38" s="79"/>
      <c r="H38" s="79"/>
      <c r="I38" s="79"/>
      <c r="J38" s="79"/>
      <c r="K38" s="118"/>
      <c r="L38" s="81"/>
      <c r="M38" s="76" t="s">
        <v>94</v>
      </c>
      <c r="N38" s="76"/>
    </row>
    <row r="39" spans="1:14" x14ac:dyDescent="0.2">
      <c r="A39" s="355" t="e">
        <f ca="1">IF(J30="Ja",A42,A41)</f>
        <v>#N/A</v>
      </c>
      <c r="B39" s="355"/>
      <c r="C39" s="355"/>
      <c r="D39" s="355"/>
      <c r="E39" s="355"/>
      <c r="F39" s="355"/>
      <c r="G39" s="355"/>
      <c r="H39" s="355"/>
      <c r="I39" s="355"/>
      <c r="J39" s="355"/>
      <c r="K39" s="356"/>
      <c r="L39" s="81"/>
      <c r="M39" s="76" t="s">
        <v>95</v>
      </c>
      <c r="N39" s="76"/>
    </row>
    <row r="40" spans="1:14" ht="44" customHeight="1" x14ac:dyDescent="0.2">
      <c r="A40" s="262" t="str">
        <f ca="1">IF(J30="ja",A43,A41)</f>
        <v>Vult u aub bovenstaand formulier volledig in op uw computer en
print dit dan voor uzelf ter controle uit.
Verstuur het EXCEL bestand naar ons via e-mail.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4"/>
      <c r="L40" s="347" t="s">
        <v>18</v>
      </c>
      <c r="M40" s="347"/>
      <c r="N40" s="347"/>
    </row>
    <row r="41" spans="1:14" ht="30" customHeight="1" x14ac:dyDescent="0.2">
      <c r="A41" s="266" t="s">
        <v>21</v>
      </c>
      <c r="B41" s="267"/>
      <c r="C41" s="267"/>
      <c r="D41" s="267"/>
      <c r="E41" s="267"/>
      <c r="F41" s="267"/>
      <c r="G41" s="267"/>
      <c r="H41" s="267"/>
      <c r="I41" s="267"/>
      <c r="J41" s="267"/>
      <c r="K41" s="367"/>
      <c r="L41" s="351" t="s">
        <v>171</v>
      </c>
      <c r="M41" s="351"/>
      <c r="N41" s="351"/>
    </row>
    <row r="42" spans="1:14" s="23" customFormat="1" ht="28" customHeight="1" x14ac:dyDescent="0.2">
      <c r="A42" s="262" t="e">
        <f>CONCATENATE("Wij verzoeken u vriendelijk het te betalen bedrag van ",I56," voor ",E8," over te maken op de RABOrekening van KVS: NL04RABO 014.05.05.938 ovv ",C3,"-",I26,". De inschrijving is pas definitief als wij uw betaling hebben ontvangen!")</f>
        <v>#N/A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4"/>
      <c r="L42" s="360" t="s">
        <v>19</v>
      </c>
      <c r="M42" s="360"/>
      <c r="N42" s="360"/>
    </row>
    <row r="43" spans="1:14" x14ac:dyDescent="0.2">
      <c r="A43" s="352" t="s">
        <v>81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4"/>
      <c r="L43" s="360" t="s">
        <v>19</v>
      </c>
      <c r="M43" s="360"/>
      <c r="N43" s="360"/>
    </row>
    <row r="44" spans="1:14" x14ac:dyDescent="0.2">
      <c r="A44" s="315" t="s">
        <v>80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60" t="s">
        <v>19</v>
      </c>
      <c r="M44" s="360"/>
      <c r="N44" s="360"/>
    </row>
    <row r="45" spans="1:14" ht="14" customHeight="1" x14ac:dyDescent="0.2">
      <c r="A45" s="314" t="str">
        <f ca="1">IF(J30="Ja",A44,A41)</f>
        <v>Het ingevulde formulier opslaan en het EXCEL bestand versturen aan:
ZOMER@KVS-OSSENDRECHT.NL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61" t="s">
        <v>20</v>
      </c>
      <c r="M45" s="362"/>
      <c r="N45" s="363"/>
    </row>
    <row r="46" spans="1:14" x14ac:dyDescent="0.2">
      <c r="A46" s="314" t="str">
        <f>CONCATENATE(I26," wil een gepersonaliseerde waterfles à ",E17,"*")</f>
        <v>Uw kind wil een gepersonaliseerde waterfles à € 7,50*</v>
      </c>
      <c r="B46" s="314"/>
      <c r="C46" s="314"/>
      <c r="D46" s="314"/>
      <c r="E46" s="314"/>
      <c r="F46" s="314"/>
      <c r="G46" s="314"/>
      <c r="H46" s="314"/>
      <c r="I46" s="314"/>
      <c r="J46" s="314"/>
      <c r="K46" s="262"/>
      <c r="L46" s="364"/>
      <c r="M46" s="365"/>
      <c r="N46" s="366"/>
    </row>
    <row r="47" spans="1:14" x14ac:dyDescent="0.2">
      <c r="A47" s="315" t="s">
        <v>142</v>
      </c>
      <c r="B47" s="315"/>
      <c r="C47" s="315"/>
      <c r="D47" s="315"/>
      <c r="E47" s="315"/>
      <c r="F47" s="315"/>
      <c r="G47" s="315"/>
      <c r="H47" s="315"/>
      <c r="I47" s="315"/>
      <c r="J47" s="315"/>
      <c r="K47" s="266"/>
      <c r="L47" s="24"/>
      <c r="M47" s="104"/>
      <c r="N47" s="25"/>
    </row>
    <row r="48" spans="1:14" ht="15" x14ac:dyDescent="0.2">
      <c r="A48" s="266" t="s">
        <v>153</v>
      </c>
      <c r="B48" s="267"/>
      <c r="C48" s="267"/>
      <c r="D48" s="267"/>
      <c r="E48" s="267"/>
      <c r="F48" s="267"/>
      <c r="G48" s="85" t="str">
        <f>IF(AND(Formulier!J25="Ja",Formulier!M25=""),"Kies","")</f>
        <v/>
      </c>
      <c r="H48" s="454"/>
      <c r="I48" s="455"/>
      <c r="J48" s="455"/>
      <c r="K48" s="456"/>
      <c r="L48" s="24"/>
      <c r="M48" s="104"/>
      <c r="N48" s="25"/>
    </row>
    <row r="49" spans="1:14" x14ac:dyDescent="0.2">
      <c r="A49" s="315" t="s">
        <v>143</v>
      </c>
      <c r="B49" s="315"/>
      <c r="C49" s="315"/>
      <c r="D49" s="315"/>
      <c r="E49" s="315"/>
      <c r="F49" s="315"/>
      <c r="G49" s="315"/>
      <c r="H49" s="315"/>
      <c r="I49" s="315"/>
      <c r="J49" s="315"/>
      <c r="K49" s="266"/>
      <c r="L49" s="24"/>
      <c r="M49" s="104"/>
      <c r="N49" s="25"/>
    </row>
    <row r="50" spans="1:14" ht="15" x14ac:dyDescent="0.2">
      <c r="A50" s="268" t="s">
        <v>116</v>
      </c>
      <c r="B50" s="268"/>
      <c r="C50" s="268"/>
      <c r="D50" s="86" t="s">
        <v>126</v>
      </c>
      <c r="E50" s="87" t="s">
        <v>117</v>
      </c>
      <c r="F50" s="337"/>
      <c r="G50" s="340" t="s">
        <v>128</v>
      </c>
      <c r="H50" s="341"/>
      <c r="I50" s="342"/>
      <c r="J50" s="447"/>
      <c r="K50" s="448"/>
      <c r="L50" s="24"/>
      <c r="M50" s="104"/>
      <c r="N50" s="25"/>
    </row>
    <row r="51" spans="1:14" ht="15" x14ac:dyDescent="0.2">
      <c r="A51" s="269" t="s">
        <v>129</v>
      </c>
      <c r="B51" s="269"/>
      <c r="C51" s="269"/>
      <c r="D51" s="88" t="s">
        <v>118</v>
      </c>
      <c r="E51" s="89" t="str">
        <f t="shared" ref="E51:E54" si="0">E9</f>
        <v>€ 35,-</v>
      </c>
      <c r="F51" s="338"/>
      <c r="G51" s="275" t="s">
        <v>127</v>
      </c>
      <c r="H51" s="276"/>
      <c r="I51" s="90" t="str">
        <f>IF(E23="Ja","K",(IF(E24="Ja","G","")))</f>
        <v/>
      </c>
      <c r="J51" s="449"/>
      <c r="K51" s="450"/>
      <c r="L51" s="24"/>
      <c r="M51" s="104"/>
      <c r="N51" s="25"/>
    </row>
    <row r="52" spans="1:14" ht="15" x14ac:dyDescent="0.2">
      <c r="A52" s="269" t="s">
        <v>130</v>
      </c>
      <c r="B52" s="269"/>
      <c r="C52" s="269"/>
      <c r="D52" s="88" t="s">
        <v>119</v>
      </c>
      <c r="E52" s="89" t="str">
        <f t="shared" si="0"/>
        <v>€ 42,50</v>
      </c>
      <c r="F52" s="338"/>
      <c r="G52" s="275" t="s">
        <v>104</v>
      </c>
      <c r="H52" s="276"/>
      <c r="I52" s="90" t="str">
        <f>H26</f>
        <v>Nee</v>
      </c>
      <c r="J52" s="449"/>
      <c r="K52" s="450"/>
      <c r="L52" s="24"/>
      <c r="M52" s="104"/>
      <c r="N52" s="25"/>
    </row>
    <row r="53" spans="1:14" ht="15" x14ac:dyDescent="0.2">
      <c r="A53" s="269" t="s">
        <v>131</v>
      </c>
      <c r="B53" s="269"/>
      <c r="C53" s="269"/>
      <c r="D53" s="88" t="s">
        <v>120</v>
      </c>
      <c r="E53" s="89" t="str">
        <f t="shared" si="0"/>
        <v>€ 89,50</v>
      </c>
      <c r="F53" s="338"/>
      <c r="G53" s="275" t="s">
        <v>115</v>
      </c>
      <c r="H53" s="276"/>
      <c r="I53" s="90" t="str">
        <f>H25</f>
        <v>Nee</v>
      </c>
      <c r="J53" s="449"/>
      <c r="K53" s="450"/>
      <c r="L53" s="24"/>
      <c r="M53" s="104"/>
      <c r="N53" s="25"/>
    </row>
    <row r="54" spans="1:14" ht="15" x14ac:dyDescent="0.2">
      <c r="A54" s="269" t="s">
        <v>132</v>
      </c>
      <c r="B54" s="269"/>
      <c r="C54" s="269"/>
      <c r="D54" s="88" t="s">
        <v>121</v>
      </c>
      <c r="E54" s="89" t="str">
        <f t="shared" si="0"/>
        <v>€ 97,-</v>
      </c>
      <c r="F54" s="338"/>
      <c r="G54" s="348"/>
      <c r="H54" s="349"/>
      <c r="I54" s="350"/>
      <c r="J54" s="449"/>
      <c r="K54" s="450"/>
      <c r="L54" s="24"/>
      <c r="M54" s="104"/>
      <c r="N54" s="25"/>
    </row>
    <row r="55" spans="1:14" ht="15" x14ac:dyDescent="0.2">
      <c r="A55" s="269" t="s">
        <v>133</v>
      </c>
      <c r="B55" s="269"/>
      <c r="C55" s="269"/>
      <c r="D55" s="88" t="s">
        <v>122</v>
      </c>
      <c r="E55" s="89" t="str">
        <f>E13</f>
        <v>€ 35,-</v>
      </c>
      <c r="F55" s="338"/>
      <c r="G55" s="275" t="s">
        <v>137</v>
      </c>
      <c r="H55" s="276"/>
      <c r="I55" s="91" t="str">
        <f>CONCATENATE(I51,"-",I52,"-",I53)</f>
        <v>-Nee-Nee</v>
      </c>
      <c r="J55" s="449"/>
      <c r="K55" s="450"/>
      <c r="L55" s="24"/>
      <c r="M55" s="104"/>
      <c r="N55" s="25"/>
    </row>
    <row r="56" spans="1:14" ht="15" x14ac:dyDescent="0.2">
      <c r="A56" s="269" t="s">
        <v>134</v>
      </c>
      <c r="B56" s="269"/>
      <c r="C56" s="269"/>
      <c r="D56" s="88" t="s">
        <v>123</v>
      </c>
      <c r="E56" s="89" t="str">
        <f t="shared" ref="E56:E58" si="1">E14</f>
        <v>€ 42,50</v>
      </c>
      <c r="F56" s="338"/>
      <c r="G56" s="275" t="s">
        <v>138</v>
      </c>
      <c r="H56" s="276"/>
      <c r="I56" s="91" t="e">
        <f>VLOOKUP(I55,D50:E58,2,0)</f>
        <v>#N/A</v>
      </c>
      <c r="J56" s="449"/>
      <c r="K56" s="450"/>
      <c r="L56" s="24"/>
      <c r="M56" s="104"/>
      <c r="N56" s="25"/>
    </row>
    <row r="57" spans="1:14" ht="15" x14ac:dyDescent="0.2">
      <c r="A57" s="269" t="s">
        <v>135</v>
      </c>
      <c r="B57" s="269"/>
      <c r="C57" s="269"/>
      <c r="D57" s="88" t="s">
        <v>124</v>
      </c>
      <c r="E57" s="89" t="str">
        <f t="shared" si="1"/>
        <v>€ 89,50</v>
      </c>
      <c r="F57" s="338"/>
      <c r="G57" s="331"/>
      <c r="H57" s="332"/>
      <c r="I57" s="333"/>
      <c r="J57" s="449"/>
      <c r="K57" s="450"/>
      <c r="L57" s="24"/>
      <c r="M57" s="104"/>
      <c r="N57" s="25"/>
    </row>
    <row r="58" spans="1:14" ht="15" x14ac:dyDescent="0.2">
      <c r="A58" s="269" t="s">
        <v>136</v>
      </c>
      <c r="B58" s="269"/>
      <c r="C58" s="269"/>
      <c r="D58" s="88" t="s">
        <v>125</v>
      </c>
      <c r="E58" s="89" t="str">
        <f t="shared" si="1"/>
        <v>€ 97,-</v>
      </c>
      <c r="F58" s="339"/>
      <c r="G58" s="334"/>
      <c r="H58" s="335"/>
      <c r="I58" s="336"/>
      <c r="J58" s="451"/>
      <c r="K58" s="452"/>
      <c r="L58" s="26"/>
      <c r="M58" s="105"/>
      <c r="N58" s="27"/>
    </row>
    <row r="59" spans="1:14" s="32" customFormat="1" ht="24" x14ac:dyDescent="0.2">
      <c r="A59" s="444" t="s">
        <v>200</v>
      </c>
      <c r="B59" s="445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6"/>
    </row>
    <row r="60" spans="1:14" x14ac:dyDescent="0.2">
      <c r="A60" s="277" t="s">
        <v>48</v>
      </c>
      <c r="B60" s="278"/>
      <c r="C60" s="278"/>
      <c r="D60" s="279"/>
      <c r="E60" s="92" t="s">
        <v>56</v>
      </c>
      <c r="F60" s="92" t="s">
        <v>57</v>
      </c>
      <c r="G60" s="92" t="s">
        <v>102</v>
      </c>
      <c r="H60" s="92" t="s">
        <v>58</v>
      </c>
      <c r="I60" s="92" t="s">
        <v>103</v>
      </c>
      <c r="J60" s="277" t="s">
        <v>73</v>
      </c>
      <c r="K60" s="278"/>
      <c r="L60" s="278"/>
      <c r="M60" s="278"/>
      <c r="N60" s="279"/>
    </row>
    <row r="61" spans="1:14" x14ac:dyDescent="0.2">
      <c r="A61" s="313" t="s">
        <v>23</v>
      </c>
      <c r="B61" s="313"/>
      <c r="C61" s="313"/>
      <c r="D61" s="77" t="str">
        <f>IF((LEN(Formulier!E11)&gt;1),1,"")</f>
        <v/>
      </c>
      <c r="E61" s="93">
        <v>1</v>
      </c>
      <c r="F61" s="93"/>
      <c r="G61" s="93"/>
      <c r="H61" s="93"/>
      <c r="I61" s="93"/>
      <c r="J61" s="318" t="s">
        <v>59</v>
      </c>
      <c r="K61" s="453"/>
      <c r="L61" s="294" t="str">
        <f>E23</f>
        <v>Nee</v>
      </c>
      <c r="M61" s="295"/>
      <c r="N61" s="296"/>
    </row>
    <row r="62" spans="1:14" x14ac:dyDescent="0.2">
      <c r="A62" s="286" t="s">
        <v>13</v>
      </c>
      <c r="B62" s="286"/>
      <c r="C62" s="286"/>
      <c r="D62" s="94" t="str">
        <f>IF((LEN(Formulier!K11)&gt;2),1,"")</f>
        <v/>
      </c>
      <c r="E62" s="93">
        <v>1</v>
      </c>
      <c r="F62" s="93"/>
      <c r="G62" s="93"/>
      <c r="H62" s="93"/>
      <c r="I62" s="93"/>
      <c r="J62" s="307" t="s">
        <v>27</v>
      </c>
      <c r="K62" s="308"/>
      <c r="L62" s="297" t="str">
        <f>IF(E24="Ja",Formulier!M16,"Nee")</f>
        <v>Nee</v>
      </c>
      <c r="M62" s="298"/>
      <c r="N62" s="299"/>
    </row>
    <row r="63" spans="1:14" x14ac:dyDescent="0.2">
      <c r="A63" s="286" t="s">
        <v>24</v>
      </c>
      <c r="B63" s="286"/>
      <c r="C63" s="286"/>
      <c r="D63" s="94" t="str">
        <f>IF((LEN(Formulier!E12)&gt;4),1,"")</f>
        <v/>
      </c>
      <c r="E63" s="93">
        <v>1</v>
      </c>
      <c r="F63" s="93"/>
      <c r="G63" s="93"/>
      <c r="H63" s="93"/>
      <c r="I63" s="93"/>
      <c r="J63" s="309" t="s">
        <v>104</v>
      </c>
      <c r="K63" s="310"/>
      <c r="L63" s="300">
        <f>Formulier!M20</f>
        <v>0</v>
      </c>
      <c r="M63" s="301"/>
      <c r="N63" s="302"/>
    </row>
    <row r="64" spans="1:14" x14ac:dyDescent="0.2">
      <c r="A64" s="286" t="s">
        <v>25</v>
      </c>
      <c r="B64" s="286"/>
      <c r="C64" s="286"/>
      <c r="D64" s="94" t="str">
        <f>IF((LEN(Formulier!E13)&gt;4),1,"")</f>
        <v/>
      </c>
      <c r="E64" s="93">
        <v>1</v>
      </c>
      <c r="F64" s="93"/>
      <c r="G64" s="93"/>
      <c r="H64" s="93"/>
      <c r="I64" s="93"/>
      <c r="J64" s="311" t="s">
        <v>60</v>
      </c>
      <c r="K64" s="312"/>
      <c r="L64" s="303" t="str">
        <f>CONCATENATE(L61,L62,L63)</f>
        <v>NeeNee0</v>
      </c>
      <c r="M64" s="304"/>
      <c r="N64" s="305"/>
    </row>
    <row r="65" spans="1:14" x14ac:dyDescent="0.2">
      <c r="A65" s="286" t="s">
        <v>88</v>
      </c>
      <c r="B65" s="286"/>
      <c r="C65" s="286"/>
      <c r="D65" s="94" t="str">
        <f>IF(Formulier!H14&gt;3,1,"")</f>
        <v/>
      </c>
      <c r="E65" s="93">
        <v>1</v>
      </c>
      <c r="F65" s="93"/>
      <c r="G65" s="93"/>
      <c r="H65" s="93"/>
      <c r="I65" s="93"/>
      <c r="J65" s="156" t="s">
        <v>61</v>
      </c>
      <c r="K65" s="265"/>
      <c r="L65" s="306" t="s">
        <v>62</v>
      </c>
      <c r="M65" s="306"/>
      <c r="N65" s="95">
        <f>E90</f>
        <v>17</v>
      </c>
    </row>
    <row r="66" spans="1:14" x14ac:dyDescent="0.2">
      <c r="A66" s="286" t="s">
        <v>49</v>
      </c>
      <c r="B66" s="286"/>
      <c r="C66" s="286"/>
      <c r="D66" s="94" t="str">
        <f>IF(Formulier!M14&gt;0,1,"")</f>
        <v/>
      </c>
      <c r="E66" s="93">
        <v>1</v>
      </c>
      <c r="F66" s="93"/>
      <c r="G66" s="93"/>
      <c r="H66" s="93"/>
      <c r="I66" s="93"/>
      <c r="J66" s="196"/>
      <c r="K66" s="270"/>
      <c r="L66" s="306" t="s">
        <v>63</v>
      </c>
      <c r="M66" s="306"/>
      <c r="N66" s="95">
        <f>SUM(E90,F90)</f>
        <v>17</v>
      </c>
    </row>
    <row r="67" spans="1:14" x14ac:dyDescent="0.2">
      <c r="A67" s="286" t="s">
        <v>27</v>
      </c>
      <c r="B67" s="286"/>
      <c r="C67" s="286"/>
      <c r="D67" s="94" t="str">
        <f>IF(Formulier!M16&gt;0,1,"")</f>
        <v/>
      </c>
      <c r="E67" s="93" t="str">
        <f>IF(E24="Ja",1,"")</f>
        <v/>
      </c>
      <c r="F67" s="93"/>
      <c r="G67" s="93"/>
      <c r="H67" s="93"/>
      <c r="I67" s="93"/>
      <c r="J67" s="196"/>
      <c r="K67" s="270"/>
      <c r="L67" s="306" t="s">
        <v>64</v>
      </c>
      <c r="M67" s="306"/>
      <c r="N67" s="95">
        <f>SUM(E90,G90)</f>
        <v>18</v>
      </c>
    </row>
    <row r="68" spans="1:14" x14ac:dyDescent="0.2">
      <c r="A68" s="286" t="s">
        <v>50</v>
      </c>
      <c r="B68" s="286"/>
      <c r="C68" s="286"/>
      <c r="D68" s="94" t="str">
        <f>IF(Formulier!M17&gt;0,1,"")</f>
        <v/>
      </c>
      <c r="E68" s="93"/>
      <c r="F68" s="93" t="str">
        <f>IF(E24="Ja",1,"")</f>
        <v/>
      </c>
      <c r="G68" s="93"/>
      <c r="H68" s="93"/>
      <c r="I68" s="93"/>
      <c r="J68" s="196"/>
      <c r="K68" s="270"/>
      <c r="L68" s="306" t="s">
        <v>65</v>
      </c>
      <c r="M68" s="306"/>
      <c r="N68" s="95">
        <f>SUM(E90:G90)</f>
        <v>18</v>
      </c>
    </row>
    <row r="69" spans="1:14" x14ac:dyDescent="0.2">
      <c r="A69" s="286" t="s">
        <v>104</v>
      </c>
      <c r="B69" s="286"/>
      <c r="C69" s="286"/>
      <c r="D69" s="94" t="str">
        <f>IF(OR(Formulier!M20="Ja",Formulier!M20="Nee"),1,"")</f>
        <v/>
      </c>
      <c r="E69" s="93">
        <v>1</v>
      </c>
      <c r="F69" s="93"/>
      <c r="G69" s="93"/>
      <c r="H69" s="93"/>
      <c r="I69" s="93"/>
      <c r="J69" s="196"/>
      <c r="K69" s="270"/>
      <c r="L69" s="306" t="s">
        <v>66</v>
      </c>
      <c r="M69" s="306"/>
      <c r="N69" s="95">
        <f>SUM(E90,H90)</f>
        <v>19</v>
      </c>
    </row>
    <row r="70" spans="1:14" x14ac:dyDescent="0.2">
      <c r="A70" s="286" t="s">
        <v>214</v>
      </c>
      <c r="B70" s="286"/>
      <c r="C70" s="286"/>
      <c r="D70" s="94" t="str">
        <f>IF(Formulier!M22&gt;0,1,"")</f>
        <v/>
      </c>
      <c r="E70" s="93"/>
      <c r="F70" s="93"/>
      <c r="G70" s="93"/>
      <c r="H70" s="93"/>
      <c r="I70" s="93">
        <v>1</v>
      </c>
      <c r="J70" s="196"/>
      <c r="K70" s="270"/>
      <c r="L70" s="306" t="s">
        <v>67</v>
      </c>
      <c r="M70" s="306"/>
      <c r="N70" s="95">
        <f>SUM(E90,F90,H90)</f>
        <v>19</v>
      </c>
    </row>
    <row r="71" spans="1:14" x14ac:dyDescent="0.2">
      <c r="A71" s="286" t="s">
        <v>29</v>
      </c>
      <c r="B71" s="286"/>
      <c r="C71" s="286"/>
      <c r="D71" s="94" t="str">
        <f>IF(Formulier!J23&gt;0,1,"")</f>
        <v/>
      </c>
      <c r="E71" s="93"/>
      <c r="F71" s="93"/>
      <c r="G71" s="93"/>
      <c r="H71" s="93">
        <v>1</v>
      </c>
      <c r="I71" s="93"/>
      <c r="J71" s="196"/>
      <c r="K71" s="270"/>
      <c r="L71" s="306" t="s">
        <v>68</v>
      </c>
      <c r="M71" s="306"/>
      <c r="N71" s="95">
        <f>SUM(E90,H90,I90)</f>
        <v>21</v>
      </c>
    </row>
    <row r="72" spans="1:14" x14ac:dyDescent="0.2">
      <c r="A72" s="286" t="s">
        <v>30</v>
      </c>
      <c r="B72" s="286"/>
      <c r="C72" s="286"/>
      <c r="D72" s="94" t="str">
        <f>IF(Formulier!J24&gt;0,1,"")</f>
        <v/>
      </c>
      <c r="E72" s="93"/>
      <c r="F72" s="93"/>
      <c r="G72" s="93"/>
      <c r="H72" s="93">
        <v>1</v>
      </c>
      <c r="I72" s="93"/>
      <c r="J72" s="247"/>
      <c r="K72" s="271"/>
      <c r="L72" s="306" t="s">
        <v>69</v>
      </c>
      <c r="M72" s="306"/>
      <c r="N72" s="95">
        <f>SUM(E90,F90,H90,I90)</f>
        <v>21</v>
      </c>
    </row>
    <row r="73" spans="1:14" x14ac:dyDescent="0.2">
      <c r="A73" s="286" t="s">
        <v>215</v>
      </c>
      <c r="B73" s="286"/>
      <c r="C73" s="286"/>
      <c r="D73" s="94" t="str">
        <f>IF((LEN(Formulier!M21)&gt;1),1,"")</f>
        <v/>
      </c>
      <c r="E73" s="93"/>
      <c r="F73" s="93"/>
      <c r="G73" s="93">
        <v>1</v>
      </c>
      <c r="H73" s="93"/>
      <c r="I73" s="93">
        <v>1</v>
      </c>
      <c r="J73" s="306" t="s">
        <v>70</v>
      </c>
      <c r="K73" s="306"/>
      <c r="L73" s="306"/>
      <c r="M73" s="287" t="e">
        <f>VLOOKUP(L64,L65:N72,3,FALSE)</f>
        <v>#N/A</v>
      </c>
      <c r="N73" s="287"/>
    </row>
    <row r="74" spans="1:14" x14ac:dyDescent="0.2">
      <c r="A74" s="286"/>
      <c r="B74" s="286"/>
      <c r="C74" s="286"/>
      <c r="D74" s="94"/>
      <c r="E74" s="93"/>
      <c r="F74" s="93"/>
      <c r="G74" s="93"/>
      <c r="H74" s="93"/>
      <c r="I74" s="93"/>
      <c r="J74" s="306" t="s">
        <v>72</v>
      </c>
      <c r="K74" s="306"/>
      <c r="L74" s="306"/>
      <c r="M74" s="287" t="e">
        <f>IF(D90&lt;M73,"Onvoldoende","Voldoende")</f>
        <v>#N/A</v>
      </c>
      <c r="N74" s="287"/>
    </row>
    <row r="75" spans="1:14" x14ac:dyDescent="0.2">
      <c r="A75" s="286"/>
      <c r="B75" s="286"/>
      <c r="C75" s="286"/>
      <c r="D75" s="94"/>
      <c r="E75" s="93"/>
      <c r="F75" s="93"/>
      <c r="G75" s="93"/>
      <c r="H75" s="93"/>
      <c r="I75" s="93"/>
      <c r="J75" s="315" t="s">
        <v>74</v>
      </c>
      <c r="K75" s="315"/>
      <c r="L75" s="315"/>
      <c r="M75" s="315"/>
      <c r="N75" s="315"/>
    </row>
    <row r="76" spans="1:14" x14ac:dyDescent="0.2">
      <c r="A76" s="286" t="s">
        <v>51</v>
      </c>
      <c r="B76" s="286"/>
      <c r="C76" s="286"/>
      <c r="D76" s="94" t="str">
        <f>IF((LEN(Formulier!E28)&gt;1),1,"")</f>
        <v/>
      </c>
      <c r="E76" s="93">
        <v>1</v>
      </c>
      <c r="F76" s="93"/>
      <c r="G76" s="93"/>
      <c r="H76" s="93"/>
      <c r="I76" s="93"/>
      <c r="J76" s="315"/>
      <c r="K76" s="315"/>
      <c r="L76" s="315"/>
      <c r="M76" s="315"/>
      <c r="N76" s="315"/>
    </row>
    <row r="77" spans="1:14" x14ac:dyDescent="0.2">
      <c r="A77" s="286" t="s">
        <v>52</v>
      </c>
      <c r="B77" s="286"/>
      <c r="C77" s="286"/>
      <c r="D77" s="94" t="str">
        <f>IF((LEN(Formulier!K28)&gt;2),1,"")</f>
        <v/>
      </c>
      <c r="E77" s="93">
        <v>1</v>
      </c>
      <c r="F77" s="93"/>
      <c r="G77" s="93"/>
      <c r="H77" s="93"/>
      <c r="I77" s="93"/>
      <c r="J77" s="315" t="s">
        <v>75</v>
      </c>
      <c r="K77" s="315"/>
      <c r="L77" s="315"/>
      <c r="M77" s="315"/>
      <c r="N77" s="315"/>
    </row>
    <row r="78" spans="1:14" x14ac:dyDescent="0.2">
      <c r="A78" s="286" t="s">
        <v>53</v>
      </c>
      <c r="B78" s="286"/>
      <c r="C78" s="286"/>
      <c r="D78" s="94" t="str">
        <f>IF((LEN(Formulier!E29)&gt;5),1,"")</f>
        <v/>
      </c>
      <c r="E78" s="93">
        <v>1</v>
      </c>
      <c r="F78" s="93"/>
      <c r="G78" s="93"/>
      <c r="H78" s="93"/>
      <c r="I78" s="93"/>
      <c r="J78" s="315"/>
      <c r="K78" s="315"/>
      <c r="L78" s="315"/>
      <c r="M78" s="315"/>
      <c r="N78" s="315"/>
    </row>
    <row r="79" spans="1:14" x14ac:dyDescent="0.2">
      <c r="A79" s="286" t="s">
        <v>54</v>
      </c>
      <c r="B79" s="286"/>
      <c r="C79" s="286"/>
      <c r="D79" s="94" t="str">
        <f>IF((LEN(Formulier!E30)&gt;6),1,"")</f>
        <v/>
      </c>
      <c r="E79" s="93">
        <v>1</v>
      </c>
      <c r="F79" s="93"/>
      <c r="G79" s="93"/>
      <c r="H79" s="93"/>
      <c r="I79" s="93"/>
      <c r="J79" s="314" t="e">
        <f>IF(M74="Voldoende",J77,J75)</f>
        <v>#N/A</v>
      </c>
      <c r="K79" s="314"/>
      <c r="L79" s="314"/>
      <c r="M79" s="314"/>
      <c r="N79" s="314"/>
    </row>
    <row r="80" spans="1:14" x14ac:dyDescent="0.2">
      <c r="A80" s="286" t="s">
        <v>55</v>
      </c>
      <c r="B80" s="286"/>
      <c r="C80" s="286"/>
      <c r="D80" s="94" t="str">
        <f>IF(Formulier!M31="Ja",1,"")</f>
        <v/>
      </c>
      <c r="E80" s="93">
        <v>1</v>
      </c>
      <c r="F80" s="93"/>
      <c r="G80" s="93"/>
      <c r="H80" s="93"/>
      <c r="I80" s="93"/>
      <c r="J80" s="314"/>
      <c r="K80" s="314"/>
      <c r="L80" s="314"/>
      <c r="M80" s="314"/>
      <c r="N80" s="314"/>
    </row>
    <row r="81" spans="1:14" s="23" customFormat="1" x14ac:dyDescent="0.2">
      <c r="A81" s="286" t="s">
        <v>77</v>
      </c>
      <c r="B81" s="286"/>
      <c r="C81" s="286"/>
      <c r="D81" s="94" t="str">
        <f>IF(Formulier!M32="Ja",1,"")</f>
        <v/>
      </c>
      <c r="E81" s="93">
        <v>1</v>
      </c>
      <c r="F81" s="93"/>
      <c r="G81" s="93"/>
      <c r="H81" s="93"/>
      <c r="I81" s="93"/>
      <c r="J81" s="96"/>
      <c r="K81" s="97"/>
      <c r="L81" s="97"/>
      <c r="M81" s="97"/>
      <c r="N81" s="98"/>
    </row>
    <row r="82" spans="1:14" s="23" customFormat="1" x14ac:dyDescent="0.2">
      <c r="A82" s="286" t="s">
        <v>144</v>
      </c>
      <c r="B82" s="286"/>
      <c r="C82" s="286"/>
      <c r="D82" s="94" t="str">
        <f>IF(Formulier!M18&gt;0,1,"")</f>
        <v/>
      </c>
      <c r="E82" s="93"/>
      <c r="F82" s="93" t="str">
        <f>IF(AND(L61="Nee",L62="Ja"),1,"")</f>
        <v/>
      </c>
      <c r="G82" s="93"/>
      <c r="H82" s="93"/>
      <c r="I82" s="93"/>
      <c r="J82" s="96"/>
      <c r="K82" s="97"/>
      <c r="L82" s="97"/>
      <c r="M82" s="97"/>
      <c r="N82" s="98"/>
    </row>
    <row r="83" spans="1:14" s="23" customFormat="1" x14ac:dyDescent="0.2">
      <c r="A83" s="318"/>
      <c r="B83" s="313"/>
      <c r="C83" s="313"/>
      <c r="D83" s="77"/>
      <c r="E83" s="93"/>
      <c r="F83" s="93"/>
      <c r="G83" s="93"/>
      <c r="H83" s="93"/>
      <c r="I83" s="93"/>
      <c r="J83" s="280" t="s">
        <v>149</v>
      </c>
      <c r="K83" s="281"/>
      <c r="L83" s="281"/>
      <c r="M83" s="281"/>
      <c r="N83" s="282"/>
    </row>
    <row r="84" spans="1:14" s="23" customFormat="1" x14ac:dyDescent="0.2">
      <c r="A84" s="319" t="s">
        <v>50</v>
      </c>
      <c r="B84" s="320"/>
      <c r="C84" s="320"/>
      <c r="D84" s="94"/>
      <c r="E84" s="93"/>
      <c r="F84" s="93"/>
      <c r="G84" s="93"/>
      <c r="H84" s="93"/>
      <c r="I84" s="93"/>
      <c r="J84" s="283"/>
      <c r="K84" s="284"/>
      <c r="L84" s="284"/>
      <c r="M84" s="284"/>
      <c r="N84" s="285"/>
    </row>
    <row r="85" spans="1:14" s="23" customFormat="1" x14ac:dyDescent="0.2">
      <c r="A85" s="307" t="s">
        <v>152</v>
      </c>
      <c r="B85" s="286"/>
      <c r="C85" s="286"/>
      <c r="D85" s="94" t="str">
        <f>IF((LEN(Formulier!M34)&gt;4),1,"")</f>
        <v/>
      </c>
      <c r="E85" s="93">
        <v>1</v>
      </c>
      <c r="F85" s="93"/>
      <c r="G85" s="93"/>
      <c r="H85" s="93"/>
      <c r="I85" s="93"/>
      <c r="J85" s="99"/>
      <c r="K85" s="100"/>
      <c r="L85" s="100"/>
      <c r="M85" s="100"/>
      <c r="N85" s="101"/>
    </row>
    <row r="86" spans="1:14" s="23" customFormat="1" x14ac:dyDescent="0.2">
      <c r="A86" s="307" t="s">
        <v>150</v>
      </c>
      <c r="B86" s="286"/>
      <c r="C86" s="286"/>
      <c r="D86" s="94" t="str">
        <f>IF((LEN(Formulier!F35)&gt;5),1,"")</f>
        <v/>
      </c>
      <c r="E86" s="93" t="str">
        <f>IF(Formulier!M34="Niet akkoord",1,"")</f>
        <v/>
      </c>
      <c r="F86" s="93"/>
      <c r="G86" s="93"/>
      <c r="H86" s="93"/>
      <c r="I86" s="93"/>
      <c r="J86" s="321" t="s">
        <v>151</v>
      </c>
      <c r="K86" s="322"/>
      <c r="L86" s="322"/>
      <c r="M86" s="322"/>
      <c r="N86" s="323"/>
    </row>
    <row r="87" spans="1:14" s="23" customFormat="1" x14ac:dyDescent="0.2">
      <c r="A87" s="307" t="s">
        <v>145</v>
      </c>
      <c r="B87" s="286"/>
      <c r="C87" s="286"/>
      <c r="D87" s="94" t="str">
        <f>IF(Formulier!J25&gt;0,1,"")</f>
        <v/>
      </c>
      <c r="E87" s="93">
        <v>1</v>
      </c>
      <c r="F87" s="93"/>
      <c r="G87" s="93"/>
      <c r="H87" s="93"/>
      <c r="I87" s="93"/>
      <c r="J87" s="96"/>
      <c r="K87" s="97"/>
      <c r="L87" s="97"/>
      <c r="M87" s="97"/>
      <c r="N87" s="98"/>
    </row>
    <row r="88" spans="1:14" x14ac:dyDescent="0.2">
      <c r="A88" s="307" t="s">
        <v>105</v>
      </c>
      <c r="B88" s="286"/>
      <c r="C88" s="286"/>
      <c r="D88" s="94" t="str">
        <f>IF(Formulier!M33="Ja",1,"")</f>
        <v/>
      </c>
      <c r="E88" s="93">
        <v>1</v>
      </c>
      <c r="F88" s="93"/>
      <c r="G88" s="93"/>
      <c r="H88" s="93"/>
      <c r="I88" s="93"/>
      <c r="J88" s="96"/>
      <c r="K88" s="97"/>
      <c r="L88" s="97"/>
      <c r="M88" s="97"/>
      <c r="N88" s="98"/>
    </row>
    <row r="89" spans="1:14" x14ac:dyDescent="0.2">
      <c r="A89" s="309" t="s">
        <v>106</v>
      </c>
      <c r="B89" s="317"/>
      <c r="C89" s="317"/>
      <c r="D89" s="67" t="str">
        <f>IF(Formulier!F9&gt;0,1,"")</f>
        <v/>
      </c>
      <c r="E89" s="93">
        <v>1</v>
      </c>
      <c r="F89" s="93"/>
      <c r="G89" s="93"/>
      <c r="H89" s="93"/>
      <c r="I89" s="93"/>
      <c r="J89" s="96"/>
      <c r="K89" s="97"/>
      <c r="L89" s="97"/>
      <c r="M89" s="97"/>
      <c r="N89" s="98"/>
    </row>
    <row r="90" spans="1:14" x14ac:dyDescent="0.2">
      <c r="A90" s="260" t="s">
        <v>71</v>
      </c>
      <c r="B90" s="261"/>
      <c r="C90" s="261"/>
      <c r="D90" s="102">
        <f t="shared" ref="D90:I90" si="2">SUM(D61:D89)</f>
        <v>0</v>
      </c>
      <c r="E90" s="95">
        <f t="shared" si="2"/>
        <v>17</v>
      </c>
      <c r="F90" s="95">
        <f t="shared" si="2"/>
        <v>0</v>
      </c>
      <c r="G90" s="95">
        <f t="shared" si="2"/>
        <v>1</v>
      </c>
      <c r="H90" s="95">
        <f t="shared" si="2"/>
        <v>2</v>
      </c>
      <c r="I90" s="95">
        <f t="shared" si="2"/>
        <v>2</v>
      </c>
      <c r="J90" s="96"/>
      <c r="K90" s="97"/>
      <c r="L90" s="97"/>
      <c r="M90" s="97"/>
      <c r="N90" s="98"/>
    </row>
    <row r="91" spans="1:14" ht="14" customHeight="1" x14ac:dyDescent="0.2">
      <c r="A91" s="311" t="s">
        <v>55</v>
      </c>
      <c r="B91" s="316"/>
      <c r="C91" s="316"/>
      <c r="D91" s="74" t="str">
        <f>IF(Formulier!M31="Ja",1,"")</f>
        <v/>
      </c>
      <c r="E91" s="440"/>
      <c r="F91" s="103" t="s">
        <v>108</v>
      </c>
      <c r="G91" s="95" t="str">
        <f>IF(Formulier!M31="Nee",1,"")</f>
        <v/>
      </c>
      <c r="H91" s="434" t="s">
        <v>110</v>
      </c>
      <c r="I91" s="435"/>
      <c r="J91" s="435"/>
      <c r="K91" s="435"/>
      <c r="L91" s="435"/>
      <c r="M91" s="435"/>
      <c r="N91" s="436"/>
    </row>
    <row r="92" spans="1:14" x14ac:dyDescent="0.2">
      <c r="A92" s="311" t="s">
        <v>77</v>
      </c>
      <c r="B92" s="316"/>
      <c r="C92" s="316"/>
      <c r="D92" s="74" t="str">
        <f>IF(Formulier!M32="Ja",1,"")</f>
        <v/>
      </c>
      <c r="E92" s="441"/>
      <c r="F92" s="103" t="s">
        <v>109</v>
      </c>
      <c r="G92" s="95" t="str">
        <f>IF(Formulier!M32="Nee",1,"")</f>
        <v/>
      </c>
      <c r="H92" s="437"/>
      <c r="I92" s="438"/>
      <c r="J92" s="438"/>
      <c r="K92" s="438"/>
      <c r="L92" s="438"/>
      <c r="M92" s="438"/>
      <c r="N92" s="439"/>
    </row>
    <row r="93" spans="1:14" ht="14" customHeight="1" x14ac:dyDescent="0.2">
      <c r="A93" s="311" t="s">
        <v>201</v>
      </c>
      <c r="B93" s="316"/>
      <c r="C93" s="316"/>
      <c r="D93" s="74" t="str">
        <f>IF(Formulier!M33="Ja",1,"")</f>
        <v/>
      </c>
      <c r="E93" s="441"/>
      <c r="F93" s="103" t="s">
        <v>108</v>
      </c>
      <c r="G93" s="95" t="str">
        <f>IF(Formulier!M33="Nee",1,"")</f>
        <v/>
      </c>
      <c r="H93" s="422" t="str">
        <f>CONCATENATE("Als u niet akkoord gaat kunnen wij ",I26," helaas niet inschrijven.")</f>
        <v>Als u niet akkoord gaat kunnen wij Uw kind helaas niet inschrijven.</v>
      </c>
      <c r="I93" s="423"/>
      <c r="J93" s="423"/>
      <c r="K93" s="423"/>
      <c r="L93" s="423"/>
      <c r="M93" s="423"/>
      <c r="N93" s="424"/>
    </row>
    <row r="94" spans="1:14" x14ac:dyDescent="0.2">
      <c r="A94" s="311" t="s">
        <v>202</v>
      </c>
      <c r="B94" s="316"/>
      <c r="C94" s="316"/>
      <c r="D94" s="74" t="str">
        <f>IF(Formulier!M34="Akkoord",1,"")</f>
        <v/>
      </c>
      <c r="E94" s="441"/>
      <c r="F94" s="103" t="s">
        <v>108</v>
      </c>
      <c r="G94" s="95" t="str">
        <f>IF(Formulier!M34="Niet akkoord",1,"")</f>
        <v/>
      </c>
      <c r="H94" s="315" t="s">
        <v>203</v>
      </c>
      <c r="I94" s="315"/>
      <c r="J94" s="315"/>
      <c r="K94" s="315"/>
      <c r="L94" s="315"/>
      <c r="M94" s="315"/>
      <c r="N94" s="315"/>
    </row>
    <row r="95" spans="1:14" ht="14" customHeight="1" x14ac:dyDescent="0.2">
      <c r="A95" s="442" t="s">
        <v>216</v>
      </c>
      <c r="B95" s="442"/>
      <c r="C95" s="442"/>
      <c r="D95" s="442"/>
      <c r="E95" s="442"/>
      <c r="F95" s="442"/>
      <c r="G95" s="443"/>
      <c r="H95" s="314" t="str">
        <f>CONCATENATE("Geef hier uw wensen aan mbt gebruik van Foto en Film materiaal betreffende ",I26)</f>
        <v>Geef hier uw wensen aan mbt gebruik van Foto en Film materiaal betreffende Uw kind</v>
      </c>
      <c r="I95" s="314"/>
      <c r="J95" s="314"/>
      <c r="K95" s="314"/>
      <c r="L95" s="433"/>
      <c r="M95" s="433"/>
      <c r="N95" s="433"/>
    </row>
  </sheetData>
  <mergeCells count="217">
    <mergeCell ref="L22:N22"/>
    <mergeCell ref="G12:N13"/>
    <mergeCell ref="H14:M14"/>
    <mergeCell ref="H15:M15"/>
    <mergeCell ref="H16:M16"/>
    <mergeCell ref="H17:M17"/>
    <mergeCell ref="H18:M18"/>
    <mergeCell ref="A20:B20"/>
    <mergeCell ref="C20:D20"/>
    <mergeCell ref="A22:K22"/>
    <mergeCell ref="A21:B21"/>
    <mergeCell ref="C21:D21"/>
    <mergeCell ref="B9:C9"/>
    <mergeCell ref="B10:C10"/>
    <mergeCell ref="B11:C11"/>
    <mergeCell ref="B12:C12"/>
    <mergeCell ref="B13:C13"/>
    <mergeCell ref="B14:C14"/>
    <mergeCell ref="B15:C15"/>
    <mergeCell ref="E11:F11"/>
    <mergeCell ref="E12:F12"/>
    <mergeCell ref="E13:F13"/>
    <mergeCell ref="E14:F14"/>
    <mergeCell ref="E15:F15"/>
    <mergeCell ref="H93:N93"/>
    <mergeCell ref="H94:N94"/>
    <mergeCell ref="H95:N95"/>
    <mergeCell ref="H91:N92"/>
    <mergeCell ref="E91:E94"/>
    <mergeCell ref="A95:G95"/>
    <mergeCell ref="A5:B5"/>
    <mergeCell ref="C5:D5"/>
    <mergeCell ref="A59:N59"/>
    <mergeCell ref="J50:K58"/>
    <mergeCell ref="J61:K61"/>
    <mergeCell ref="H48:K48"/>
    <mergeCell ref="A35:D35"/>
    <mergeCell ref="A36:D36"/>
    <mergeCell ref="A37:D37"/>
    <mergeCell ref="A38:D38"/>
    <mergeCell ref="L23:L24"/>
    <mergeCell ref="I20:J20"/>
    <mergeCell ref="B16:C16"/>
    <mergeCell ref="B17:C17"/>
    <mergeCell ref="C18:D18"/>
    <mergeCell ref="A19:B19"/>
    <mergeCell ref="C19:D19"/>
    <mergeCell ref="I8:M8"/>
    <mergeCell ref="C2:F2"/>
    <mergeCell ref="C3:F3"/>
    <mergeCell ref="A2:B2"/>
    <mergeCell ref="A3:B3"/>
    <mergeCell ref="A4:B4"/>
    <mergeCell ref="C4:D4"/>
    <mergeCell ref="H32:K32"/>
    <mergeCell ref="I35:K35"/>
    <mergeCell ref="E8:F8"/>
    <mergeCell ref="E4:F4"/>
    <mergeCell ref="E5:F5"/>
    <mergeCell ref="E6:F6"/>
    <mergeCell ref="E7:F7"/>
    <mergeCell ref="E9:F9"/>
    <mergeCell ref="E10:F10"/>
    <mergeCell ref="E34:H35"/>
    <mergeCell ref="A23:D23"/>
    <mergeCell ref="A24:D24"/>
    <mergeCell ref="A30:D30"/>
    <mergeCell ref="A31:D31"/>
    <mergeCell ref="A32:D32"/>
    <mergeCell ref="E32:G32"/>
    <mergeCell ref="A18:B18"/>
    <mergeCell ref="A34:D34"/>
    <mergeCell ref="A1:D1"/>
    <mergeCell ref="A6:B6"/>
    <mergeCell ref="A7:B7"/>
    <mergeCell ref="I2:M2"/>
    <mergeCell ref="H28:I28"/>
    <mergeCell ref="H29:I29"/>
    <mergeCell ref="A29:G29"/>
    <mergeCell ref="E30:G30"/>
    <mergeCell ref="E31:G31"/>
    <mergeCell ref="A8:B8"/>
    <mergeCell ref="C6:D6"/>
    <mergeCell ref="C7:D7"/>
    <mergeCell ref="C8:D8"/>
    <mergeCell ref="I9:M9"/>
    <mergeCell ref="I10:M10"/>
    <mergeCell ref="I11:M11"/>
    <mergeCell ref="E21:F21"/>
    <mergeCell ref="G1:N1"/>
    <mergeCell ref="I3:M3"/>
    <mergeCell ref="E16:F16"/>
    <mergeCell ref="E17:F17"/>
    <mergeCell ref="E18:F18"/>
    <mergeCell ref="E19:F19"/>
    <mergeCell ref="E20:F20"/>
    <mergeCell ref="I5:M5"/>
    <mergeCell ref="I6:M6"/>
    <mergeCell ref="I7:M7"/>
    <mergeCell ref="G56:H56"/>
    <mergeCell ref="L40:N40"/>
    <mergeCell ref="A53:C53"/>
    <mergeCell ref="G53:H53"/>
    <mergeCell ref="G55:H55"/>
    <mergeCell ref="G54:I54"/>
    <mergeCell ref="L41:N41"/>
    <mergeCell ref="A46:K46"/>
    <mergeCell ref="I23:J23"/>
    <mergeCell ref="A43:K43"/>
    <mergeCell ref="A39:K39"/>
    <mergeCell ref="A33:C33"/>
    <mergeCell ref="D33:K33"/>
    <mergeCell ref="I27:K27"/>
    <mergeCell ref="L42:N42"/>
    <mergeCell ref="L43:N43"/>
    <mergeCell ref="L44:N44"/>
    <mergeCell ref="L45:N46"/>
    <mergeCell ref="A41:K41"/>
    <mergeCell ref="A42:K42"/>
    <mergeCell ref="A44:K44"/>
    <mergeCell ref="J86:N86"/>
    <mergeCell ref="A85:C85"/>
    <mergeCell ref="J73:L73"/>
    <mergeCell ref="M73:N73"/>
    <mergeCell ref="I26:K26"/>
    <mergeCell ref="B27:E27"/>
    <mergeCell ref="B28:E28"/>
    <mergeCell ref="A57:C57"/>
    <mergeCell ref="A47:K47"/>
    <mergeCell ref="A49:K49"/>
    <mergeCell ref="H31:I31"/>
    <mergeCell ref="A55:C55"/>
    <mergeCell ref="J31:K31"/>
    <mergeCell ref="J28:K28"/>
    <mergeCell ref="A54:C54"/>
    <mergeCell ref="J29:K29"/>
    <mergeCell ref="A45:K45"/>
    <mergeCell ref="J30:K30"/>
    <mergeCell ref="H30:I30"/>
    <mergeCell ref="G57:I58"/>
    <mergeCell ref="F50:F58"/>
    <mergeCell ref="A52:C52"/>
    <mergeCell ref="G50:I50"/>
    <mergeCell ref="G51:H51"/>
    <mergeCell ref="A93:C93"/>
    <mergeCell ref="A94:C94"/>
    <mergeCell ref="A91:C91"/>
    <mergeCell ref="A63:C63"/>
    <mergeCell ref="A89:C89"/>
    <mergeCell ref="A78:C78"/>
    <mergeCell ref="A87:C87"/>
    <mergeCell ref="A86:C86"/>
    <mergeCell ref="A83:C83"/>
    <mergeCell ref="A84:C84"/>
    <mergeCell ref="A70:C70"/>
    <mergeCell ref="A90:C90"/>
    <mergeCell ref="A92:C92"/>
    <mergeCell ref="A88:C88"/>
    <mergeCell ref="A82:C82"/>
    <mergeCell ref="A81:C81"/>
    <mergeCell ref="J79:N80"/>
    <mergeCell ref="A66:C66"/>
    <mergeCell ref="A67:C67"/>
    <mergeCell ref="A68:C68"/>
    <mergeCell ref="A79:C79"/>
    <mergeCell ref="A76:C76"/>
    <mergeCell ref="A64:C64"/>
    <mergeCell ref="A65:C65"/>
    <mergeCell ref="A80:C80"/>
    <mergeCell ref="L65:M65"/>
    <mergeCell ref="J75:N76"/>
    <mergeCell ref="J77:N78"/>
    <mergeCell ref="L71:M71"/>
    <mergeCell ref="A74:C74"/>
    <mergeCell ref="L72:M72"/>
    <mergeCell ref="L66:M66"/>
    <mergeCell ref="L67:M67"/>
    <mergeCell ref="J83:N84"/>
    <mergeCell ref="A77:C77"/>
    <mergeCell ref="A75:C75"/>
    <mergeCell ref="A62:C62"/>
    <mergeCell ref="A69:C69"/>
    <mergeCell ref="M74:N74"/>
    <mergeCell ref="F27:H27"/>
    <mergeCell ref="B26:E26"/>
    <mergeCell ref="A60:D60"/>
    <mergeCell ref="L61:N61"/>
    <mergeCell ref="L62:N62"/>
    <mergeCell ref="L63:N63"/>
    <mergeCell ref="L64:N64"/>
    <mergeCell ref="J74:L74"/>
    <mergeCell ref="J62:K62"/>
    <mergeCell ref="J63:K63"/>
    <mergeCell ref="J64:K64"/>
    <mergeCell ref="L68:M68"/>
    <mergeCell ref="A71:C71"/>
    <mergeCell ref="A72:C72"/>
    <mergeCell ref="A73:C73"/>
    <mergeCell ref="A61:C61"/>
    <mergeCell ref="L69:M69"/>
    <mergeCell ref="L70:M70"/>
    <mergeCell ref="F23:G23"/>
    <mergeCell ref="I25:J25"/>
    <mergeCell ref="A40:K40"/>
    <mergeCell ref="I34:K34"/>
    <mergeCell ref="F24:G24"/>
    <mergeCell ref="A48:F48"/>
    <mergeCell ref="A50:C50"/>
    <mergeCell ref="A51:C51"/>
    <mergeCell ref="J65:K72"/>
    <mergeCell ref="A25:E25"/>
    <mergeCell ref="A56:C56"/>
    <mergeCell ref="A58:C58"/>
    <mergeCell ref="I24:J24"/>
    <mergeCell ref="G52:H52"/>
    <mergeCell ref="J60:N60"/>
    <mergeCell ref="E36:K36"/>
  </mergeCells>
  <pageMargins left="0.7" right="0.7" top="0.75" bottom="0.75" header="0.3" footer="0.3"/>
  <pageSetup paperSize="9" orientation="portrait" horizontalDpi="0" verticalDpi="0"/>
  <ignoredErrors>
    <ignoredError sqref="E14:E15 E10:E11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Formulier</vt:lpstr>
      <vt:lpstr>TABEL</vt:lpstr>
      <vt:lpstr>Brondata</vt:lpstr>
      <vt:lpstr>Formulier!Afdrukbereik</vt:lpstr>
      <vt:lpstr>Formulier!Afdruktitels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 Buermans</dc:creator>
  <cp:lastModifiedBy>Jac Buermans</cp:lastModifiedBy>
  <cp:lastPrinted>2022-07-06T22:14:06Z</cp:lastPrinted>
  <dcterms:created xsi:type="dcterms:W3CDTF">2012-01-07T13:37:41Z</dcterms:created>
  <dcterms:modified xsi:type="dcterms:W3CDTF">2026-06-29T18:57:18Z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321747-f206-4919-9520-29762f698e8e_Enabled">
    <vt:lpwstr>true</vt:lpwstr>
  </property>
  <property fmtid="{D5CDD505-2E9C-101B-9397-08002B2CF9AE}" pid="3" name="MSIP_Label_13321747-f206-4919-9520-29762f698e8e_SetDate">
    <vt:lpwstr>2025-06-08T11:03:25Z</vt:lpwstr>
  </property>
  <property fmtid="{D5CDD505-2E9C-101B-9397-08002B2CF9AE}" pid="4" name="MSIP_Label_13321747-f206-4919-9520-29762f698e8e_Method">
    <vt:lpwstr>Privileged</vt:lpwstr>
  </property>
  <property fmtid="{D5CDD505-2E9C-101B-9397-08002B2CF9AE}" pid="5" name="MSIP_Label_13321747-f206-4919-9520-29762f698e8e_Name">
    <vt:lpwstr>13321747-f206-4919-9520-29762f698e8e</vt:lpwstr>
  </property>
  <property fmtid="{D5CDD505-2E9C-101B-9397-08002B2CF9AE}" pid="6" name="MSIP_Label_13321747-f206-4919-9520-29762f698e8e_SiteId">
    <vt:lpwstr>a77c517c-e95e-435b-bbb4-cb17e462491f</vt:lpwstr>
  </property>
  <property fmtid="{D5CDD505-2E9C-101B-9397-08002B2CF9AE}" pid="7" name="MSIP_Label_13321747-f206-4919-9520-29762f698e8e_ActionId">
    <vt:lpwstr>6ff6a8db-8bda-4f74-a30f-6a3d90dadb22</vt:lpwstr>
  </property>
  <property fmtid="{D5CDD505-2E9C-101B-9397-08002B2CF9AE}" pid="8" name="MSIP_Label_13321747-f206-4919-9520-29762f698e8e_ContentBits">
    <vt:lpwstr>1</vt:lpwstr>
  </property>
</Properties>
</file>